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461" windowWidth="12120" windowHeight="9120" tabRatio="865" activeTab="2"/>
  </bookViews>
  <sheets>
    <sheet name="Lizenz Nr.- Eingabe" sheetId="1" r:id="rId1"/>
    <sheet name="RB Lizene Nr.- Eingabe" sheetId="2" state="hidden" r:id="rId2"/>
    <sheet name="6er Formblatt" sheetId="3" r:id="rId3"/>
    <sheet name="Ablaufplan Fläche II" sheetId="4" r:id="rId4"/>
    <sheet name="Gesamtwertung" sheetId="5" r:id="rId5"/>
    <sheet name="Tabelle Punktspiele" sheetId="6" r:id="rId6"/>
    <sheet name="Optionen" sheetId="7" r:id="rId7"/>
  </sheets>
  <externalReferences>
    <externalReference r:id="rId10"/>
  </externalReferences>
  <definedNames>
    <definedName name="_xlnm.Print_Area" localSheetId="2">'6er Formblatt'!$B$2:$AB$50</definedName>
    <definedName name="_xlnm.Print_Area" localSheetId="4">'Gesamtwertung'!$A$1:$Y$25</definedName>
    <definedName name="_xlnm.Print_Area" localSheetId="0">'Lizenz Nr.- Eingabe'!$C$3:$AK$53</definedName>
    <definedName name="Z_1A69D1D7_7162_4F09_B915_F400607F3E2C_.wvu.Cols" localSheetId="0" hidden="1">'Lizenz Nr.- Eingabe'!$S:$S</definedName>
    <definedName name="Z_1A69D1D7_7162_4F09_B915_F400607F3E2C_.wvu.PrintArea" localSheetId="2" hidden="1">'6er Formblatt'!$C$3:$AA$47</definedName>
    <definedName name="Z_1A69D1D7_7162_4F09_B915_F400607F3E2C_.wvu.PrintArea" localSheetId="0" hidden="1">'Lizenz Nr.- Eingabe'!$C$3:$AK$51</definedName>
  </definedNames>
  <calcPr fullCalcOnLoad="1"/>
</workbook>
</file>

<file path=xl/comments1.xml><?xml version="1.0" encoding="utf-8"?>
<comments xmlns="http://schemas.openxmlformats.org/spreadsheetml/2006/main">
  <authors>
    <author>Michael Schneider</author>
  </authors>
  <commentList>
    <comment ref="D32" authorId="0">
      <text>
        <r>
          <rPr>
            <sz val="8"/>
            <rFont val="Tahoma"/>
            <family val="2"/>
          </rPr>
          <t xml:space="preserve">Wenn beide Mannschaften gleichzeitig eine </t>
        </r>
        <r>
          <rPr>
            <b/>
            <sz val="8"/>
            <rFont val="Tahoma"/>
            <family val="2"/>
          </rPr>
          <t>Rote-Karte</t>
        </r>
        <r>
          <rPr>
            <sz val="8"/>
            <rFont val="Tahoma"/>
            <family val="2"/>
          </rPr>
          <t xml:space="preserve"> bekommen, dann trage statt dem Spielergebnis für beide Mannschaften den Buchstaben 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 ein.
In der Tabellenwertung wird nun dieses Spiel für beide Mannschaften mit </t>
        </r>
        <r>
          <rPr>
            <b/>
            <sz val="8"/>
            <rFont val="Tahoma"/>
            <family val="2"/>
          </rPr>
          <t>0:5 Toren</t>
        </r>
        <r>
          <rPr>
            <sz val="8"/>
            <rFont val="Tahoma"/>
            <family val="2"/>
          </rPr>
          <t xml:space="preserve"> und </t>
        </r>
        <r>
          <rPr>
            <b/>
            <sz val="8"/>
            <rFont val="Tahoma"/>
            <family val="2"/>
          </rPr>
          <t>0:2 Punkten</t>
        </r>
        <r>
          <rPr>
            <sz val="8"/>
            <rFont val="Tahoma"/>
            <family val="2"/>
          </rPr>
          <t xml:space="preserve"> gewertet.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Schneider</author>
  </authors>
  <commentList>
    <comment ref="B2" authorId="0">
      <text>
        <r>
          <rPr>
            <b/>
            <sz val="8"/>
            <rFont val="Tahoma"/>
            <family val="2"/>
          </rPr>
          <t xml:space="preserve">Spielfolgen-Code
</t>
        </r>
        <r>
          <rPr>
            <sz val="8"/>
            <rFont val="Tahoma"/>
            <family val="2"/>
          </rPr>
          <t>In dieser Liste wird die Spielreihenfolge festgelegt. 
Die Spielreihenfolge ist veränderbar.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sz val="8"/>
            <rFont val="Tahoma"/>
            <family val="2"/>
          </rPr>
          <t xml:space="preserve">In dieser Liste werden die Spielergebnisse, mit den </t>
        </r>
        <r>
          <rPr>
            <b/>
            <sz val="8"/>
            <rFont val="Tahoma"/>
            <family val="2"/>
          </rPr>
          <t>+Toren</t>
        </r>
        <r>
          <rPr>
            <sz val="8"/>
            <rFont val="Tahoma"/>
            <family val="2"/>
          </rPr>
          <t xml:space="preserve"> als erstes, eingetragen.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Sollten beide Mannschaften eines Spiels, die Rote-Karte bekommen, wird das Spiel für </t>
        </r>
        <r>
          <rPr>
            <b/>
            <sz val="8"/>
            <rFont val="Tahoma"/>
            <family val="2"/>
          </rPr>
          <t>beide Mannschaften mit 0:5 Toren</t>
        </r>
        <r>
          <rPr>
            <sz val="8"/>
            <rFont val="Tahoma"/>
            <family val="2"/>
          </rPr>
          <t xml:space="preserve"> gewertet. Dazu wird im Spielplan statt des Spielergebnis ein  X  eingetragen.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sz val="8"/>
            <rFont val="Tahoma"/>
            <family val="2"/>
          </rPr>
          <t xml:space="preserve">Muss direkt mit  </t>
        </r>
        <r>
          <rPr>
            <b/>
            <sz val="8"/>
            <rFont val="Tahoma"/>
            <family val="2"/>
          </rPr>
          <t>=Adresse</t>
        </r>
        <r>
          <rPr>
            <sz val="8"/>
            <rFont val="Tahoma"/>
            <family val="2"/>
          </rPr>
          <t xml:space="preserve">  aus dem Spielplan geholt werden.</t>
        </r>
        <r>
          <rPr>
            <sz val="8"/>
            <rFont val="Tahoma"/>
            <family val="2"/>
          </rPr>
          <t xml:space="preserve">
</t>
        </r>
      </text>
    </comment>
    <comment ref="AE50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sz val="8"/>
            <rFont val="Tahoma"/>
            <family val="2"/>
          </rPr>
          <t xml:space="preserve">
Platzierungen Sortiert.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>Eingang der Mannschaften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=Wiederholen(Adresse aus dem Spielplan)</t>
        </r>
        <r>
          <rPr>
            <sz val="8"/>
            <rFont val="Tahoma"/>
            <family val="2"/>
          </rPr>
          <t xml:space="preserve">
</t>
        </r>
      </text>
    </comment>
    <comment ref="L51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Unsortierte Rangfolge.</t>
        </r>
        <r>
          <rPr>
            <sz val="8"/>
            <rFont val="Tahoma"/>
            <family val="2"/>
          </rPr>
          <t xml:space="preserve">
</t>
        </r>
      </text>
    </comment>
    <comment ref="AE51" authorId="0">
      <text>
        <r>
          <rPr>
            <sz val="8"/>
            <rFont val="Tahoma"/>
            <family val="2"/>
          </rPr>
          <t xml:space="preserve">Die Platzierung im Spielplan nur dann Eintragen lassen, wenn eine Punktzahl vorhanden ist.
     </t>
        </r>
        <r>
          <rPr>
            <b/>
            <sz val="8"/>
            <rFont val="Tahoma"/>
            <family val="2"/>
          </rPr>
          <t>Wenn= Istzahl 
      Dann= Wiederholen 
    Sonnst= ""</t>
        </r>
        <r>
          <rPr>
            <sz val="8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8"/>
            <rFont val="Tahoma"/>
            <family val="2"/>
          </rPr>
          <t>Michael Schneider:</t>
        </r>
        <r>
          <rPr>
            <sz val="8"/>
            <rFont val="Tahoma"/>
            <family val="2"/>
          </rPr>
          <t xml:space="preserve">
Dies ist eine Fix-Zeit und darf nict geändert werden.</t>
        </r>
      </text>
    </comment>
    <comment ref="BB61" authorId="0">
      <text>
        <r>
          <rPr>
            <sz val="8"/>
            <rFont val="Tahoma"/>
            <family val="2"/>
          </rPr>
          <t xml:space="preserve">Das Ergebnis der Zeitberechnung im Spielplan nur dann Eintragen lassen: Wenn die </t>
        </r>
        <r>
          <rPr>
            <b/>
            <sz val="8"/>
            <rFont val="Tahoma"/>
            <family val="2"/>
          </rPr>
          <t>3. Mannschaft</t>
        </r>
        <r>
          <rPr>
            <sz val="8"/>
            <rFont val="Tahoma"/>
            <family val="2"/>
          </rPr>
          <t xml:space="preserve"> und die </t>
        </r>
        <r>
          <rPr>
            <b/>
            <sz val="8"/>
            <rFont val="Tahoma"/>
            <family val="2"/>
          </rPr>
          <t>Spielzeit</t>
        </r>
        <r>
          <rPr>
            <sz val="8"/>
            <rFont val="Tahoma"/>
            <family val="2"/>
          </rPr>
          <t xml:space="preserve"> (zb.7 Min.) eingetragen ist.</t>
        </r>
      </text>
    </comment>
  </commentList>
</comments>
</file>

<file path=xl/sharedStrings.xml><?xml version="1.0" encoding="utf-8"?>
<sst xmlns="http://schemas.openxmlformats.org/spreadsheetml/2006/main" count="572" uniqueCount="211">
  <si>
    <t>Ergeb.</t>
  </si>
  <si>
    <t>Code</t>
  </si>
  <si>
    <t>Mannschaften</t>
  </si>
  <si>
    <t>Filter</t>
  </si>
  <si>
    <t>T+</t>
  </si>
  <si>
    <t>T-</t>
  </si>
  <si>
    <t>P+</t>
  </si>
  <si>
    <t>P-</t>
  </si>
  <si>
    <t>Mannsch.</t>
  </si>
  <si>
    <t>Tore</t>
  </si>
  <si>
    <t>Punkte</t>
  </si>
  <si>
    <t>Platz</t>
  </si>
  <si>
    <t>Rang</t>
  </si>
  <si>
    <t>Schriftführer: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</si>
  <si>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</si>
  <si>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</si>
  <si>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</si>
  <si>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</si>
  <si>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</si>
  <si>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</si>
  <si>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</si>
  <si>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</si>
  <si>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</si>
  <si>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</si>
  <si>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</si>
  <si>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</si>
  <si>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</si>
  <si>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</si>
  <si>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</si>
  <si>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</si>
  <si>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</si>
  <si>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</si>
  <si>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</si>
  <si>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</si>
  <si>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</si>
  <si>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</si>
  <si>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</si>
  <si>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</si>
  <si>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</si>
  <si>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</si>
  <si>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</si>
  <si>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</si>
  <si>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</si>
  <si>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Spielfolge</t>
  </si>
  <si>
    <t>Min.</t>
  </si>
  <si>
    <t>Verein</t>
  </si>
  <si>
    <t>Name, Vorname</t>
  </si>
  <si>
    <t>Geb. Dat</t>
  </si>
  <si>
    <t xml:space="preserve">Name,                       Vorname                                                                                                           Telefon                                          Unterschrift     </t>
  </si>
  <si>
    <t>Spielfolgen-Code          3 bis 10 Mannschaften</t>
  </si>
  <si>
    <t>Spielreihenfolge</t>
  </si>
  <si>
    <t>Spielergebnisse mit gedrehter Vorsortierung und ( X - Berücksichtigung)</t>
  </si>
  <si>
    <t>Rangfolge: unsotiert</t>
  </si>
  <si>
    <t>Rangfolge: sortiert</t>
  </si>
  <si>
    <t>Mannsch</t>
  </si>
  <si>
    <t>Optionen</t>
  </si>
  <si>
    <t>NR.</t>
  </si>
  <si>
    <t>Tabwert</t>
  </si>
  <si>
    <t>Zähler</t>
  </si>
  <si>
    <t>Spielzeitb.</t>
  </si>
  <si>
    <t>Spielpausen - Zeit =</t>
  </si>
  <si>
    <t>Anzahl der Spiele =</t>
  </si>
  <si>
    <t>Beginn der Spiele =</t>
  </si>
  <si>
    <t>Ende der Spiele =</t>
  </si>
  <si>
    <t>Spiel-Zeit in Min. =</t>
  </si>
  <si>
    <t>Spielzeit Übersetzer :</t>
  </si>
  <si>
    <t>Datenfeld zur sortierung (nur Rechenblock)</t>
  </si>
  <si>
    <t xml:space="preserve"> </t>
  </si>
  <si>
    <t>Name</t>
  </si>
  <si>
    <t>Vorname</t>
  </si>
  <si>
    <t>Eingabe</t>
  </si>
  <si>
    <t>Punkte-System=</t>
  </si>
  <si>
    <t>Teilnehmende Mannschaften:</t>
  </si>
  <si>
    <t>Beginn:</t>
  </si>
  <si>
    <t>Spielfolge: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</si>
  <si>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</si>
  <si>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</si>
  <si>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</si>
  <si>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</si>
  <si>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</si>
  <si>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</si>
  <si>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</si>
  <si>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</si>
  <si>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</si>
  <si>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Uhr</t>
  </si>
  <si>
    <t>-</t>
  </si>
  <si>
    <t>Mit dieser Schaltfläche ist es möglich die</t>
  </si>
  <si>
    <r>
      <t xml:space="preserve">auf das  </t>
    </r>
    <r>
      <rPr>
        <b/>
        <sz val="12"/>
        <color indexed="10"/>
        <rFont val="Times New Roman"/>
        <family val="1"/>
      </rPr>
      <t xml:space="preserve">3-Punktesystem  </t>
    </r>
    <r>
      <rPr>
        <b/>
        <sz val="12"/>
        <rFont val="Times New Roman"/>
        <family val="1"/>
      </rPr>
      <t>umzuschalten.</t>
    </r>
  </si>
  <si>
    <r>
      <t xml:space="preserve">Platzierungsberechnung vom  </t>
    </r>
    <r>
      <rPr>
        <b/>
        <sz val="12"/>
        <color indexed="10"/>
        <rFont val="Times New Roman"/>
        <family val="1"/>
      </rPr>
      <t>2-Punktesystem</t>
    </r>
    <r>
      <rPr>
        <b/>
        <sz val="12"/>
        <rFont val="Times New Roman"/>
        <family val="1"/>
      </rPr>
      <t xml:space="preserve">  </t>
    </r>
  </si>
  <si>
    <t>BAD</t>
  </si>
  <si>
    <t>BAY</t>
  </si>
  <si>
    <t>BER</t>
  </si>
  <si>
    <t>BRA</t>
  </si>
  <si>
    <t>BRE</t>
  </si>
  <si>
    <t>HAM</t>
  </si>
  <si>
    <t>HES</t>
  </si>
  <si>
    <t>MEV</t>
  </si>
  <si>
    <t>NDS</t>
  </si>
  <si>
    <t>NRW</t>
  </si>
  <si>
    <t>RLP</t>
  </si>
  <si>
    <t>SAR</t>
  </si>
  <si>
    <t>SAC</t>
  </si>
  <si>
    <t>SAH</t>
  </si>
  <si>
    <t>SÜB</t>
  </si>
  <si>
    <t>THÜ</t>
  </si>
  <si>
    <t>WTB</t>
  </si>
  <si>
    <t>RKB</t>
  </si>
  <si>
    <t>Baden</t>
  </si>
  <si>
    <t>Bayern</t>
  </si>
  <si>
    <t>Berlin</t>
  </si>
  <si>
    <t>Bremen</t>
  </si>
  <si>
    <t>Hamburg</t>
  </si>
  <si>
    <t>Hessen</t>
  </si>
  <si>
    <t>Niedersachsen</t>
  </si>
  <si>
    <t>Nordrhein Westfalen</t>
  </si>
  <si>
    <t>Rheinland Pfalz</t>
  </si>
  <si>
    <t>Saarland</t>
  </si>
  <si>
    <t>Sachsen</t>
  </si>
  <si>
    <t>Berlin / Brandenburg</t>
  </si>
  <si>
    <t>Meklernburg / Vorpommern</t>
  </si>
  <si>
    <t>Sachsen / Anhalt</t>
  </si>
  <si>
    <t>Südbaden</t>
  </si>
  <si>
    <t>Thüringen</t>
  </si>
  <si>
    <t>Württenberg</t>
  </si>
  <si>
    <t>RKB Solidarität</t>
  </si>
  <si>
    <t>LV.</t>
  </si>
  <si>
    <t>LZ</t>
  </si>
  <si>
    <t>SZ</t>
  </si>
  <si>
    <t xml:space="preserve"> / </t>
  </si>
  <si>
    <t>Verkettung ( Lizenz Nr.- Eingabe )</t>
  </si>
  <si>
    <t>Option =</t>
  </si>
  <si>
    <t>Daten aus dem Blatt  "Lizenz Nr.- Eingabe"</t>
  </si>
  <si>
    <t>Daten aus Blatt  "Hand - Eingabe"</t>
  </si>
  <si>
    <t>Verkettung  "Hand - Eingabe"</t>
  </si>
  <si>
    <t>Radball</t>
  </si>
  <si>
    <t>Schüler C</t>
  </si>
  <si>
    <t>Schüler B</t>
  </si>
  <si>
    <t>Schüler A</t>
  </si>
  <si>
    <t>Jugend</t>
  </si>
  <si>
    <t>Junioren</t>
  </si>
  <si>
    <t>Elite</t>
  </si>
  <si>
    <t>Radpolo</t>
  </si>
  <si>
    <t>Schülerinnen</t>
  </si>
  <si>
    <t>Juniorinnen</t>
  </si>
  <si>
    <t>Frauen</t>
  </si>
  <si>
    <t>von</t>
  </si>
  <si>
    <t>bis</t>
  </si>
  <si>
    <t>Jahren</t>
  </si>
  <si>
    <t>=</t>
  </si>
  <si>
    <t xml:space="preserve">Stichtag : </t>
  </si>
  <si>
    <t>Formblatt Übertragen wird.</t>
  </si>
  <si>
    <t xml:space="preserve">Wähle hier von wo aus die Einträge in das </t>
  </si>
  <si>
    <r>
      <t>Spielzeit: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  x</t>
    </r>
  </si>
  <si>
    <t>Arbeitsgemeinschaft BDR/RKB</t>
  </si>
  <si>
    <t>Kommissär:</t>
  </si>
  <si>
    <t>Chief-Kommissär:</t>
  </si>
  <si>
    <t>Beginn</t>
  </si>
  <si>
    <t>Spielberichtsbogen Radball</t>
  </si>
  <si>
    <t>Bund Deutscher</t>
  </si>
  <si>
    <t>Radball/Radpolo</t>
  </si>
  <si>
    <t>Radfahrer e.V.</t>
  </si>
  <si>
    <r>
      <t xml:space="preserve">Vorkommnisse:  </t>
    </r>
    <r>
      <rPr>
        <b/>
        <sz val="8"/>
        <rFont val="Arial"/>
        <family val="2"/>
      </rPr>
      <t>Bitte Rückseite verwenden</t>
    </r>
  </si>
  <si>
    <t>/</t>
  </si>
  <si>
    <t>10.00</t>
  </si>
  <si>
    <t>Mannschaft</t>
  </si>
  <si>
    <t>Meisterschaft</t>
  </si>
  <si>
    <t>Rangziffer</t>
  </si>
  <si>
    <t>RaziffPspiele</t>
  </si>
  <si>
    <t>Ges.Raziff.</t>
  </si>
  <si>
    <t>Bilshausen I</t>
  </si>
  <si>
    <t xml:space="preserve">Ort: </t>
  </si>
  <si>
    <t>U15</t>
  </si>
  <si>
    <t>UCI - ID</t>
  </si>
  <si>
    <t xml:space="preserve">Tel.:  </t>
  </si>
  <si>
    <t>Gieboldehausen I</t>
  </si>
  <si>
    <t>37434 Bilshausen</t>
  </si>
  <si>
    <t>Veranstalter: RV Möve Bilshausen</t>
  </si>
  <si>
    <t>Franz Josef Adler</t>
  </si>
  <si>
    <t>Feldstraße 12, 37434 Bilshausen</t>
  </si>
  <si>
    <t>Tel. 05528 3075</t>
  </si>
  <si>
    <t>Halle: Carl-Strüber Sporthalle</t>
  </si>
  <si>
    <t>Sandweg 80</t>
  </si>
  <si>
    <t>Obernfeld I</t>
  </si>
  <si>
    <t>Obernfeld II</t>
  </si>
  <si>
    <t>Spiele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</si>
  <si>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</si>
  <si>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</si>
  <si>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</si>
  <si>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</si>
  <si>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</si>
  <si>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Datum: 25.02.2024</t>
  </si>
  <si>
    <t>NDS-Meisterschaft Radball U-15</t>
  </si>
  <si>
    <t>U-15</t>
  </si>
  <si>
    <t>Die drei erstplatzierten Mannschaften qualifizieren sich für das 1/4 Finale zur DM am 20.04.2024</t>
  </si>
  <si>
    <t>Tabelle Radball U15 nach dem 6. Spieltag</t>
  </si>
  <si>
    <t>Diff.</t>
  </si>
  <si>
    <t>RV Etelsen I U15</t>
  </si>
  <si>
    <t>RCG Hahndorf I U15</t>
  </si>
  <si>
    <t>RV Etelsen II U15</t>
  </si>
  <si>
    <t>Oberneuland I U15</t>
  </si>
  <si>
    <t>RVS Obernfeld I U15</t>
  </si>
  <si>
    <t>Etelsen I</t>
  </si>
  <si>
    <t>Hahndorf I</t>
  </si>
  <si>
    <t>Etelsen II</t>
  </si>
  <si>
    <t>Oberneuland I</t>
  </si>
  <si>
    <t>Niedersachsenmeisterschaft 2024</t>
  </si>
  <si>
    <t>Fläche II</t>
  </si>
  <si>
    <t>U17</t>
  </si>
  <si>
    <t>Oberneuland</t>
  </si>
  <si>
    <t>NDS 1 und 3 spielen in NRW       Bilshausen I und Etelsen II</t>
  </si>
  <si>
    <t>NDS 2 spielt in B/B                       Etelsen 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</si>
</sst>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yy"/>
    <numFmt numFmtId="166" formatCode="\+0;\-0"/>
    <numFmt numFmtId="167" formatCode="\+\ 0;\-\ 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Comic Sans MS"/>
      <family val="4"/>
    </font>
    <font>
      <sz val="7"/>
      <name val="Arial"/>
      <family val="2"/>
    </font>
    <font>
      <sz val="7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u val="single"/>
      <sz val="18"/>
      <name val="Times New Roman"/>
      <family val="1"/>
    </font>
    <font>
      <b/>
      <i/>
      <sz val="14"/>
      <name val="Benguiat Bk BT"/>
      <family val="1"/>
    </font>
    <font>
      <b/>
      <sz val="13"/>
      <name val="Arial Narrow"/>
      <family val="2"/>
    </font>
    <font>
      <sz val="11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2"/>
      <name val="Arial Narrow"/>
      <family val="2"/>
    </font>
    <font>
      <b/>
      <sz val="22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u val="single"/>
      <sz val="8"/>
      <name val="Tahoma"/>
      <family val="2"/>
    </font>
    <font>
      <b/>
      <u val="single"/>
      <sz val="18"/>
      <name val="Tahoma"/>
      <family val="2"/>
    </font>
    <font>
      <sz val="14"/>
      <name val="Arial"/>
      <family val="2"/>
    </font>
    <font>
      <sz val="12"/>
      <name val="Tahoma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5" borderId="2" applyNumberFormat="0" applyAlignment="0" applyProtection="0"/>
    <xf numFmtId="41" fontId="0" fillId="0" borderId="0" applyFont="0" applyFill="0" applyBorder="0" applyAlignment="0" applyProtection="0"/>
    <xf numFmtId="0" fontId="80" fillId="2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7" borderId="0" applyNumberFormat="0" applyBorder="0" applyAlignment="0" applyProtection="0"/>
    <xf numFmtId="43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58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1" borderId="9" applyNumberFormat="0" applyAlignment="0" applyProtection="0"/>
  </cellStyleXfs>
  <cellXfs count="6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Alignment="1" applyProtection="1">
      <alignment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10" borderId="17" xfId="0" applyFont="1" applyFill="1" applyBorder="1" applyAlignment="1" applyProtection="1">
      <alignment horizontal="center" vertical="top"/>
      <protection hidden="1"/>
    </xf>
    <xf numFmtId="0" fontId="12" fillId="10" borderId="18" xfId="0" applyFont="1" applyFill="1" applyBorder="1" applyAlignment="1" applyProtection="1">
      <alignment horizontal="left" vertical="top"/>
      <protection hidden="1"/>
    </xf>
    <xf numFmtId="0" fontId="12" fillId="10" borderId="20" xfId="0" applyFont="1" applyFill="1" applyBorder="1" applyAlignment="1" applyProtection="1">
      <alignment horizontal="left" vertical="top"/>
      <protection hidden="1"/>
    </xf>
    <xf numFmtId="0" fontId="12" fillId="10" borderId="17" xfId="0" applyFont="1" applyFill="1" applyBorder="1" applyAlignment="1" applyProtection="1">
      <alignment horizontal="left" vertical="top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10" borderId="11" xfId="0" applyFont="1" applyFill="1" applyBorder="1" applyAlignment="1" applyProtection="1">
      <alignment horizontal="center" vertical="top"/>
      <protection hidden="1"/>
    </xf>
    <xf numFmtId="0" fontId="12" fillId="10" borderId="24" xfId="0" applyFont="1" applyFill="1" applyBorder="1" applyAlignment="1" applyProtection="1">
      <alignment horizontal="center" vertical="top"/>
      <protection hidden="1"/>
    </xf>
    <xf numFmtId="0" fontId="12" fillId="32" borderId="23" xfId="0" applyFont="1" applyFill="1" applyBorder="1" applyAlignment="1" applyProtection="1">
      <alignment horizontal="center" vertical="top"/>
      <protection hidden="1"/>
    </xf>
    <xf numFmtId="0" fontId="12" fillId="32" borderId="25" xfId="0" applyFont="1" applyFill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10" borderId="30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left" vertical="top"/>
      <protection hidden="1"/>
    </xf>
    <xf numFmtId="0" fontId="12" fillId="32" borderId="30" xfId="0" applyFont="1" applyFill="1" applyBorder="1" applyAlignment="1" applyProtection="1">
      <alignment horizontal="center" vertical="top"/>
      <protection hidden="1"/>
    </xf>
    <xf numFmtId="0" fontId="12" fillId="32" borderId="31" xfId="0" applyFont="1" applyFill="1" applyBorder="1" applyAlignment="1" applyProtection="1">
      <alignment horizontal="center" vertical="top"/>
      <protection hidden="1"/>
    </xf>
    <xf numFmtId="0" fontId="12" fillId="33" borderId="30" xfId="0" applyFont="1" applyFill="1" applyBorder="1" applyAlignment="1" applyProtection="1">
      <alignment horizontal="center" vertical="center"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center" vertical="top"/>
      <protection hidden="1"/>
    </xf>
    <xf numFmtId="0" fontId="12" fillId="10" borderId="33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10" borderId="36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10" borderId="37" xfId="0" applyFont="1" applyFill="1" applyBorder="1" applyAlignment="1" applyProtection="1">
      <alignment horizontal="center" vertical="top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center" vertical="top"/>
      <protection hidden="1"/>
    </xf>
    <xf numFmtId="0" fontId="12" fillId="32" borderId="33" xfId="0" applyFont="1" applyFill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2" fillId="34" borderId="45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0" fillId="33" borderId="0" xfId="0" applyFill="1" applyAlignment="1">
      <alignment/>
    </xf>
    <xf numFmtId="0" fontId="23" fillId="34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34" borderId="0" xfId="0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 horizontal="right"/>
      <protection locked="0"/>
    </xf>
    <xf numFmtId="0" fontId="23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left" vertical="center"/>
      <protection locked="0"/>
    </xf>
    <xf numFmtId="0" fontId="26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right" vertical="center"/>
      <protection locked="0"/>
    </xf>
    <xf numFmtId="0" fontId="25" fillId="34" borderId="0" xfId="0" applyFont="1" applyFill="1" applyAlignment="1" applyProtection="1">
      <alignment/>
      <protection locked="0"/>
    </xf>
    <xf numFmtId="0" fontId="22" fillId="34" borderId="0" xfId="0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34" borderId="0" xfId="0" applyFont="1" applyFill="1" applyAlignment="1" applyProtection="1">
      <alignment horizontal="center"/>
      <protection locked="0"/>
    </xf>
    <xf numFmtId="49" fontId="26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2" fillId="34" borderId="0" xfId="0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5" fillId="0" borderId="46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29" fillId="34" borderId="0" xfId="0" applyFont="1" applyFill="1" applyAlignment="1" applyProtection="1">
      <alignment/>
      <protection locked="0"/>
    </xf>
    <xf numFmtId="0" fontId="24" fillId="34" borderId="45" xfId="0" applyFont="1" applyFill="1" applyBorder="1" applyAlignment="1" applyProtection="1">
      <alignment/>
      <protection locked="0"/>
    </xf>
    <xf numFmtId="0" fontId="22" fillId="34" borderId="45" xfId="0" applyFont="1" applyFill="1" applyBorder="1" applyAlignment="1" applyProtection="1">
      <alignment/>
      <protection locked="0"/>
    </xf>
    <xf numFmtId="0" fontId="26" fillId="34" borderId="45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23" fillId="34" borderId="0" xfId="0" applyFont="1" applyFill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left"/>
      <protection locked="0"/>
    </xf>
    <xf numFmtId="0" fontId="49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22" fillId="34" borderId="47" xfId="0" applyFont="1" applyFill="1" applyBorder="1" applyAlignment="1" applyProtection="1">
      <alignment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center" vertical="center"/>
      <protection locked="0"/>
    </xf>
    <xf numFmtId="0" fontId="45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 horizontal="center"/>
      <protection locked="0"/>
    </xf>
    <xf numFmtId="0" fontId="46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right"/>
      <protection locked="0"/>
    </xf>
    <xf numFmtId="0" fontId="33" fillId="34" borderId="0" xfId="0" applyFont="1" applyFill="1" applyAlignment="1" applyProtection="1">
      <alignment/>
      <protection locked="0"/>
    </xf>
    <xf numFmtId="0" fontId="34" fillId="34" borderId="48" xfId="0" applyFont="1" applyFill="1" applyBorder="1" applyAlignment="1" applyProtection="1">
      <alignment horizontal="center"/>
      <protection locked="0"/>
    </xf>
    <xf numFmtId="0" fontId="36" fillId="34" borderId="48" xfId="0" applyFont="1" applyFill="1" applyBorder="1" applyAlignment="1" applyProtection="1">
      <alignment horizontal="center"/>
      <protection locked="0"/>
    </xf>
    <xf numFmtId="0" fontId="22" fillId="34" borderId="40" xfId="0" applyFont="1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2" fillId="34" borderId="49" xfId="0" applyFont="1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19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3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 applyProtection="1">
      <alignment/>
      <protection locked="0"/>
    </xf>
    <xf numFmtId="0" fontId="5" fillId="34" borderId="47" xfId="0" applyFon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7" fillId="34" borderId="5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vertical="top"/>
      <protection locked="0"/>
    </xf>
    <xf numFmtId="0" fontId="7" fillId="3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17" fillId="34" borderId="0" xfId="0" applyFont="1" applyFill="1" applyAlignment="1" applyProtection="1">
      <alignment/>
      <protection locked="0"/>
    </xf>
    <xf numFmtId="16" fontId="17" fillId="34" borderId="0" xfId="0" applyNumberFormat="1" applyFont="1" applyFill="1" applyAlignment="1" applyProtection="1">
      <alignment/>
      <protection locked="0"/>
    </xf>
    <xf numFmtId="0" fontId="57" fillId="34" borderId="0" xfId="0" applyFont="1" applyFill="1" applyAlignment="1" applyProtection="1">
      <alignment/>
      <protection locked="0"/>
    </xf>
    <xf numFmtId="0" fontId="56" fillId="0" borderId="0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167" fontId="55" fillId="0" borderId="0" xfId="51" applyNumberFormat="1" applyFont="1" applyFill="1" applyBorder="1" applyAlignment="1">
      <alignment horizontal="center"/>
      <protection/>
    </xf>
    <xf numFmtId="0" fontId="35" fillId="0" borderId="2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left"/>
    </xf>
    <xf numFmtId="0" fontId="35" fillId="0" borderId="14" xfId="0" applyFont="1" applyFill="1" applyBorder="1" applyAlignment="1">
      <alignment/>
    </xf>
    <xf numFmtId="0" fontId="35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50" xfId="0" applyFont="1" applyFill="1" applyBorder="1" applyAlignment="1">
      <alignment horizontal="center"/>
    </xf>
    <xf numFmtId="0" fontId="35" fillId="0" borderId="50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0" fontId="35" fillId="0" borderId="54" xfId="0" applyFont="1" applyFill="1" applyBorder="1" applyAlignment="1">
      <alignment/>
    </xf>
    <xf numFmtId="0" fontId="35" fillId="0" borderId="55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1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42" fillId="35" borderId="0" xfId="0" applyFont="1" applyFill="1" applyAlignment="1" applyProtection="1">
      <alignment/>
      <protection locked="0"/>
    </xf>
    <xf numFmtId="0" fontId="42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39" fillId="35" borderId="0" xfId="0" applyFont="1" applyFill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39" fillId="35" borderId="0" xfId="0" applyFont="1" applyFill="1" applyBorder="1" applyAlignment="1" applyProtection="1">
      <alignment horizontal="center"/>
      <protection locked="0"/>
    </xf>
    <xf numFmtId="0" fontId="29" fillId="35" borderId="0" xfId="0" applyFont="1" applyFill="1" applyBorder="1" applyAlignment="1" applyProtection="1">
      <alignment horizontal="center"/>
      <protection locked="0"/>
    </xf>
    <xf numFmtId="0" fontId="52" fillId="35" borderId="0" xfId="0" applyFont="1" applyFill="1" applyBorder="1" applyAlignment="1" applyProtection="1">
      <alignment horizontal="left"/>
      <protection locked="0"/>
    </xf>
    <xf numFmtId="0" fontId="52" fillId="35" borderId="0" xfId="0" applyFont="1" applyFill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39" fillId="35" borderId="0" xfId="0" applyFont="1" applyFill="1" applyAlignment="1" applyProtection="1">
      <alignment horizontal="left"/>
      <protection locked="0"/>
    </xf>
    <xf numFmtId="0" fontId="29" fillId="35" borderId="0" xfId="0" applyFont="1" applyFill="1" applyAlignment="1" applyProtection="1">
      <alignment horizontal="left"/>
      <protection locked="0"/>
    </xf>
    <xf numFmtId="0" fontId="29" fillId="35" borderId="0" xfId="0" applyFont="1" applyFill="1" applyAlignment="1" applyProtection="1">
      <alignment/>
      <protection locked="0"/>
    </xf>
    <xf numFmtId="0" fontId="52" fillId="35" borderId="0" xfId="0" applyFont="1" applyFill="1" applyAlignment="1" applyProtection="1">
      <alignment horizontal="center"/>
      <protection locked="0"/>
    </xf>
    <xf numFmtId="49" fontId="39" fillId="35" borderId="0" xfId="0" applyNumberFormat="1" applyFont="1" applyFill="1" applyAlignment="1" applyProtection="1">
      <alignment horizontal="right"/>
      <protection locked="0"/>
    </xf>
    <xf numFmtId="0" fontId="39" fillId="35" borderId="0" xfId="0" applyFont="1" applyFill="1" applyAlignment="1" applyProtection="1">
      <alignment/>
      <protection locked="0"/>
    </xf>
    <xf numFmtId="0" fontId="50" fillId="35" borderId="0" xfId="0" applyFont="1" applyFill="1" applyAlignment="1" applyProtection="1">
      <alignment/>
      <protection locked="0"/>
    </xf>
    <xf numFmtId="0" fontId="29" fillId="35" borderId="0" xfId="0" applyFont="1" applyFill="1" applyAlignment="1" applyProtection="1">
      <alignment/>
      <protection locked="0"/>
    </xf>
    <xf numFmtId="0" fontId="5" fillId="0" borderId="43" xfId="0" applyFont="1" applyBorder="1" applyAlignment="1">
      <alignment/>
    </xf>
    <xf numFmtId="0" fontId="5" fillId="0" borderId="56" xfId="0" applyFont="1" applyBorder="1" applyAlignment="1">
      <alignment/>
    </xf>
    <xf numFmtId="0" fontId="0" fillId="0" borderId="0" xfId="0" applyFill="1" applyBorder="1" applyAlignment="1">
      <alignment/>
    </xf>
    <xf numFmtId="0" fontId="56" fillId="0" borderId="0" xfId="51" applyFont="1" applyFill="1" applyBorder="1" applyAlignment="1">
      <alignment horizontal="left"/>
      <protection/>
    </xf>
    <xf numFmtId="0" fontId="55" fillId="0" borderId="0" xfId="51" applyFont="1" applyFill="1" applyBorder="1" applyAlignment="1">
      <alignment horizontal="left"/>
      <protection/>
    </xf>
    <xf numFmtId="0" fontId="58" fillId="0" borderId="0" xfId="51" applyFont="1" applyFill="1" applyBorder="1" applyAlignment="1">
      <alignment horizontal="center"/>
      <protection/>
    </xf>
    <xf numFmtId="0" fontId="58" fillId="0" borderId="0" xfId="51" applyFont="1" applyFill="1" applyBorder="1" applyAlignment="1">
      <alignment horizontal="left"/>
      <protection/>
    </xf>
    <xf numFmtId="0" fontId="58" fillId="0" borderId="0" xfId="51" applyNumberFormat="1" applyFont="1" applyFill="1" applyBorder="1" applyAlignment="1">
      <alignment horizontal="center"/>
      <protection/>
    </xf>
    <xf numFmtId="0" fontId="58" fillId="0" borderId="0" xfId="51" applyNumberFormat="1" applyFont="1" applyFill="1" applyBorder="1" applyAlignment="1" applyProtection="1">
      <alignment horizontal="center"/>
      <protection locked="0"/>
    </xf>
    <xf numFmtId="167" fontId="58" fillId="0" borderId="0" xfId="51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6" xfId="0" applyFont="1" applyFill="1" applyBorder="1" applyAlignment="1">
      <alignment/>
    </xf>
    <xf numFmtId="0" fontId="35" fillId="36" borderId="39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5" fillId="36" borderId="33" xfId="0" applyFont="1" applyFill="1" applyBorder="1" applyAlignment="1">
      <alignment horizontal="center"/>
    </xf>
    <xf numFmtId="0" fontId="35" fillId="36" borderId="33" xfId="0" applyFont="1" applyFill="1" applyBorder="1" applyAlignment="1">
      <alignment horizontal="left"/>
    </xf>
    <xf numFmtId="0" fontId="5" fillId="36" borderId="57" xfId="0" applyFont="1" applyFill="1" applyBorder="1" applyAlignment="1">
      <alignment horizontal="center"/>
    </xf>
    <xf numFmtId="0" fontId="5" fillId="36" borderId="57" xfId="0" applyFont="1" applyFill="1" applyBorder="1" applyAlignment="1">
      <alignment/>
    </xf>
    <xf numFmtId="0" fontId="11" fillId="34" borderId="0" xfId="0" applyFont="1" applyFill="1" applyAlignment="1" applyProtection="1">
      <alignment horizontal="right"/>
      <protection locked="0"/>
    </xf>
    <xf numFmtId="0" fontId="7" fillId="34" borderId="52" xfId="0" applyFont="1" applyFill="1" applyBorder="1" applyAlignment="1" applyProtection="1">
      <alignment horizontal="right" vertical="center"/>
      <protection locked="0"/>
    </xf>
    <xf numFmtId="0" fontId="7" fillId="34" borderId="52" xfId="0" applyFont="1" applyFill="1" applyBorder="1" applyAlignment="1" applyProtection="1">
      <alignment horizontal="left" vertical="center"/>
      <protection locked="0"/>
    </xf>
    <xf numFmtId="0" fontId="7" fillId="34" borderId="58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/>
      <protection locked="0"/>
    </xf>
    <xf numFmtId="0" fontId="39" fillId="34" borderId="14" xfId="0" applyFont="1" applyFill="1" applyBorder="1" applyAlignment="1" applyProtection="1">
      <alignment horizontal="center" vertical="center"/>
      <protection locked="0"/>
    </xf>
    <xf numFmtId="0" fontId="39" fillId="34" borderId="47" xfId="0" applyFont="1" applyFill="1" applyBorder="1" applyAlignment="1" applyProtection="1">
      <alignment horizontal="center" vertical="center"/>
      <protection locked="0"/>
    </xf>
    <xf numFmtId="0" fontId="43" fillId="34" borderId="52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7" fillId="34" borderId="59" xfId="0" applyFont="1" applyFill="1" applyBorder="1" applyAlignment="1" applyProtection="1">
      <alignment horizontal="left" vertical="center"/>
      <protection locked="0"/>
    </xf>
    <xf numFmtId="0" fontId="54" fillId="34" borderId="45" xfId="0" applyFont="1" applyFill="1" applyBorder="1" applyAlignment="1" applyProtection="1">
      <alignment/>
      <protection locked="0"/>
    </xf>
    <xf numFmtId="0" fontId="43" fillId="34" borderId="46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47" fillId="34" borderId="52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47" fillId="34" borderId="46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46" xfId="0" applyFont="1" applyFill="1" applyBorder="1" applyAlignment="1" applyProtection="1">
      <alignment horizontal="center" vertical="center"/>
      <protection locked="0"/>
    </xf>
    <xf numFmtId="0" fontId="47" fillId="0" borderId="45" xfId="0" applyFont="1" applyFill="1" applyBorder="1" applyAlignment="1" applyProtection="1">
      <alignment vertical="center"/>
      <protection locked="0"/>
    </xf>
    <xf numFmtId="0" fontId="47" fillId="34" borderId="45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47" fillId="0" borderId="46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60" xfId="0" applyFont="1" applyFill="1" applyBorder="1" applyAlignment="1" applyProtection="1">
      <alignment horizontal="center" vertical="center"/>
      <protection locked="0"/>
    </xf>
    <xf numFmtId="0" fontId="39" fillId="34" borderId="51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/>
      <protection locked="0"/>
    </xf>
    <xf numFmtId="14" fontId="39" fillId="34" borderId="63" xfId="0" applyNumberFormat="1" applyFont="1" applyFill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16" fillId="34" borderId="47" xfId="0" applyFont="1" applyFill="1" applyBorder="1" applyAlignment="1" applyProtection="1">
      <alignment horizontal="left"/>
      <protection locked="0"/>
    </xf>
    <xf numFmtId="0" fontId="39" fillId="34" borderId="43" xfId="0" applyFont="1" applyFill="1" applyBorder="1" applyAlignment="1" applyProtection="1">
      <alignment horizontal="left"/>
      <protection locked="0"/>
    </xf>
    <xf numFmtId="0" fontId="39" fillId="34" borderId="46" xfId="0" applyFont="1" applyFill="1" applyBorder="1" applyAlignment="1" applyProtection="1">
      <alignment horizontal="left"/>
      <protection locked="0"/>
    </xf>
    <xf numFmtId="0" fontId="39" fillId="34" borderId="56" xfId="0" applyFont="1" applyFill="1" applyBorder="1" applyAlignment="1" applyProtection="1">
      <alignment horizontal="left"/>
      <protection locked="0"/>
    </xf>
    <xf numFmtId="0" fontId="39" fillId="34" borderId="44" xfId="0" applyFont="1" applyFill="1" applyBorder="1" applyAlignment="1" applyProtection="1">
      <alignment horizontal="left"/>
      <protection locked="0"/>
    </xf>
    <xf numFmtId="0" fontId="39" fillId="34" borderId="52" xfId="0" applyFont="1" applyFill="1" applyBorder="1" applyAlignment="1" applyProtection="1">
      <alignment horizontal="left"/>
      <protection locked="0"/>
    </xf>
    <xf numFmtId="0" fontId="39" fillId="34" borderId="67" xfId="0" applyFont="1" applyFill="1" applyBorder="1" applyAlignment="1" applyProtection="1">
      <alignment horizontal="left"/>
      <protection locked="0"/>
    </xf>
    <xf numFmtId="0" fontId="16" fillId="34" borderId="47" xfId="0" applyFont="1" applyFill="1" applyBorder="1" applyAlignment="1" applyProtection="1">
      <alignment horizontal="right"/>
      <protection locked="0"/>
    </xf>
    <xf numFmtId="0" fontId="5" fillId="34" borderId="50" xfId="0" applyFont="1" applyFill="1" applyBorder="1" applyAlignment="1" applyProtection="1">
      <alignment horizontal="right"/>
      <protection locked="0"/>
    </xf>
    <xf numFmtId="14" fontId="39" fillId="34" borderId="33" xfId="0" applyNumberFormat="1" applyFont="1" applyFill="1" applyBorder="1" applyAlignment="1" applyProtection="1">
      <alignment horizontal="center" vertical="center"/>
      <protection locked="0"/>
    </xf>
    <xf numFmtId="0" fontId="10" fillId="34" borderId="68" xfId="0" applyFont="1" applyFill="1" applyBorder="1" applyAlignment="1" applyProtection="1">
      <alignment horizontal="right" vertical="center"/>
      <protection locked="0"/>
    </xf>
    <xf numFmtId="0" fontId="17" fillId="34" borderId="64" xfId="0" applyFont="1" applyFill="1" applyBorder="1" applyAlignment="1" applyProtection="1">
      <alignment horizontal="center" vertical="center"/>
      <protection locked="0"/>
    </xf>
    <xf numFmtId="0" fontId="17" fillId="34" borderId="51" xfId="0" applyFont="1" applyFill="1" applyBorder="1" applyAlignment="1" applyProtection="1">
      <alignment horizontal="center" vertical="center"/>
      <protection locked="0"/>
    </xf>
    <xf numFmtId="0" fontId="17" fillId="34" borderId="69" xfId="0" applyFont="1" applyFill="1" applyBorder="1" applyAlignment="1" applyProtection="1">
      <alignment horizontal="center" vertical="center"/>
      <protection locked="0"/>
    </xf>
    <xf numFmtId="0" fontId="17" fillId="34" borderId="66" xfId="0" applyFont="1" applyFill="1" applyBorder="1" applyAlignment="1" applyProtection="1">
      <alignment horizontal="center" vertical="center"/>
      <protection locked="0"/>
    </xf>
    <xf numFmtId="0" fontId="17" fillId="34" borderId="47" xfId="0" applyFont="1" applyFill="1" applyBorder="1" applyAlignment="1" applyProtection="1">
      <alignment horizontal="center" vertical="center"/>
      <protection locked="0"/>
    </xf>
    <xf numFmtId="0" fontId="17" fillId="34" borderId="70" xfId="0" applyFont="1" applyFill="1" applyBorder="1" applyAlignment="1" applyProtection="1">
      <alignment horizontal="center" vertical="center"/>
      <protection locked="0"/>
    </xf>
    <xf numFmtId="0" fontId="42" fillId="34" borderId="60" xfId="0" applyFont="1" applyFill="1" applyBorder="1" applyAlignment="1" applyProtection="1">
      <alignment horizontal="left" vertical="center"/>
      <protection locked="0"/>
    </xf>
    <xf numFmtId="0" fontId="42" fillId="34" borderId="51" xfId="0" applyFont="1" applyFill="1" applyBorder="1" applyAlignment="1" applyProtection="1">
      <alignment horizontal="left" vertical="center"/>
      <protection locked="0"/>
    </xf>
    <xf numFmtId="0" fontId="42" fillId="34" borderId="65" xfId="0" applyFont="1" applyFill="1" applyBorder="1" applyAlignment="1" applyProtection="1">
      <alignment horizontal="left" vertical="center"/>
      <protection locked="0"/>
    </xf>
    <xf numFmtId="0" fontId="42" fillId="34" borderId="14" xfId="0" applyFont="1" applyFill="1" applyBorder="1" applyAlignment="1" applyProtection="1">
      <alignment horizontal="left" vertical="center"/>
      <protection locked="0"/>
    </xf>
    <xf numFmtId="0" fontId="42" fillId="34" borderId="47" xfId="0" applyFont="1" applyFill="1" applyBorder="1" applyAlignment="1" applyProtection="1">
      <alignment horizontal="left" vertical="center"/>
      <protection locked="0"/>
    </xf>
    <xf numFmtId="0" fontId="42" fillId="34" borderId="54" xfId="0" applyFont="1" applyFill="1" applyBorder="1" applyAlignment="1" applyProtection="1">
      <alignment horizontal="left" vertical="center"/>
      <protection locked="0"/>
    </xf>
    <xf numFmtId="0" fontId="39" fillId="34" borderId="71" xfId="0" applyFont="1" applyFill="1" applyBorder="1" applyAlignment="1" applyProtection="1">
      <alignment vertical="center"/>
      <protection locked="0"/>
    </xf>
    <xf numFmtId="0" fontId="39" fillId="34" borderId="63" xfId="0" applyFont="1" applyFill="1" applyBorder="1" applyAlignment="1" applyProtection="1">
      <alignment vertical="center"/>
      <protection locked="0"/>
    </xf>
    <xf numFmtId="0" fontId="39" fillId="34" borderId="67" xfId="0" applyFont="1" applyFill="1" applyBorder="1" applyAlignment="1" applyProtection="1">
      <alignment vertical="center"/>
      <protection locked="0"/>
    </xf>
    <xf numFmtId="0" fontId="39" fillId="34" borderId="33" xfId="0" applyFont="1" applyFill="1" applyBorder="1" applyAlignment="1" applyProtection="1">
      <alignment vertical="center"/>
      <protection locked="0"/>
    </xf>
    <xf numFmtId="0" fontId="39" fillId="34" borderId="72" xfId="0" applyFont="1" applyFill="1" applyBorder="1" applyAlignment="1" applyProtection="1">
      <alignment horizontal="center" vertical="center"/>
      <protection locked="0"/>
    </xf>
    <xf numFmtId="0" fontId="39" fillId="34" borderId="73" xfId="0" applyFont="1" applyFill="1" applyBorder="1" applyAlignment="1" applyProtection="1">
      <alignment horizontal="center" vertical="center"/>
      <protection locked="0"/>
    </xf>
    <xf numFmtId="0" fontId="47" fillId="0" borderId="61" xfId="0" applyFont="1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71" xfId="0" applyFont="1" applyFill="1" applyBorder="1" applyAlignment="1" applyProtection="1">
      <alignment horizontal="left" vertical="center"/>
      <protection locked="0"/>
    </xf>
    <xf numFmtId="0" fontId="39" fillId="34" borderId="56" xfId="0" applyFont="1" applyFill="1" applyBorder="1" applyAlignment="1" applyProtection="1">
      <alignment vertical="center"/>
      <protection locked="0"/>
    </xf>
    <xf numFmtId="0" fontId="39" fillId="34" borderId="31" xfId="0" applyFont="1" applyFill="1" applyBorder="1" applyAlignment="1" applyProtection="1">
      <alignment vertical="center"/>
      <protection locked="0"/>
    </xf>
    <xf numFmtId="0" fontId="10" fillId="34" borderId="51" xfId="0" applyFont="1" applyFill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 applyProtection="1">
      <alignment horizontal="center" vertical="center"/>
      <protection locked="0"/>
    </xf>
    <xf numFmtId="0" fontId="10" fillId="34" borderId="69" xfId="0" applyFont="1" applyFill="1" applyBorder="1" applyAlignment="1" applyProtection="1">
      <alignment horizontal="left" vertical="center"/>
      <protection locked="0"/>
    </xf>
    <xf numFmtId="0" fontId="10" fillId="34" borderId="74" xfId="0" applyFont="1" applyFill="1" applyBorder="1" applyAlignment="1" applyProtection="1">
      <alignment horizontal="left" vertical="center"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75" xfId="0" applyFill="1" applyBorder="1" applyAlignment="1" applyProtection="1">
      <alignment horizontal="center"/>
      <protection locked="0"/>
    </xf>
    <xf numFmtId="14" fontId="39" fillId="34" borderId="31" xfId="0" applyNumberFormat="1" applyFont="1" applyFill="1" applyBorder="1" applyAlignment="1" applyProtection="1">
      <alignment horizontal="center" vertical="center"/>
      <protection locked="0"/>
    </xf>
    <xf numFmtId="0" fontId="10" fillId="34" borderId="64" xfId="0" applyFont="1" applyFill="1" applyBorder="1" applyAlignment="1" applyProtection="1">
      <alignment horizontal="righ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4" fontId="39" fillId="34" borderId="46" xfId="0" applyNumberFormat="1" applyFont="1" applyFill="1" applyBorder="1" applyAlignment="1" applyProtection="1">
      <alignment horizontal="center" vertical="center"/>
      <protection locked="0"/>
    </xf>
    <xf numFmtId="14" fontId="39" fillId="34" borderId="56" xfId="0" applyNumberFormat="1" applyFont="1" applyFill="1" applyBorder="1" applyAlignment="1" applyProtection="1">
      <alignment horizontal="center" vertical="center"/>
      <protection locked="0"/>
    </xf>
    <xf numFmtId="0" fontId="42" fillId="34" borderId="39" xfId="0" applyFont="1" applyFill="1" applyBorder="1" applyAlignment="1" applyProtection="1">
      <alignment horizontal="left" vertical="center"/>
      <protection locked="0"/>
    </xf>
    <xf numFmtId="0" fontId="42" fillId="34" borderId="45" xfId="0" applyFont="1" applyFill="1" applyBorder="1" applyAlignment="1" applyProtection="1">
      <alignment horizontal="left" vertical="center"/>
      <protection locked="0"/>
    </xf>
    <xf numFmtId="0" fontId="42" fillId="34" borderId="59" xfId="0" applyFont="1" applyFill="1" applyBorder="1" applyAlignment="1" applyProtection="1">
      <alignment horizontal="left" vertical="center"/>
      <protection locked="0"/>
    </xf>
    <xf numFmtId="0" fontId="17" fillId="34" borderId="41" xfId="0" applyFont="1" applyFill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 locked="0"/>
    </xf>
    <xf numFmtId="0" fontId="17" fillId="34" borderId="74" xfId="0" applyFont="1" applyFill="1" applyBorder="1" applyAlignment="1" applyProtection="1">
      <alignment horizontal="center" vertical="center"/>
      <protection locked="0"/>
    </xf>
    <xf numFmtId="0" fontId="6" fillId="34" borderId="68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68" xfId="0" applyFill="1" applyBorder="1" applyAlignment="1" applyProtection="1">
      <alignment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center"/>
      <protection locked="0"/>
    </xf>
    <xf numFmtId="0" fontId="10" fillId="34" borderId="76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Alignment="1" applyProtection="1">
      <alignment horizontal="left"/>
      <protection locked="0"/>
    </xf>
    <xf numFmtId="0" fontId="17" fillId="34" borderId="76" xfId="0" applyFont="1" applyFill="1" applyBorder="1" applyAlignment="1" applyProtection="1">
      <alignment horizontal="center" vertical="center"/>
      <protection locked="0"/>
    </xf>
    <xf numFmtId="0" fontId="17" fillId="34" borderId="73" xfId="0" applyFont="1" applyFill="1" applyBorder="1" applyAlignment="1" applyProtection="1">
      <alignment horizontal="center" vertical="center"/>
      <protection locked="0"/>
    </xf>
    <xf numFmtId="0" fontId="17" fillId="34" borderId="77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48" fillId="35" borderId="0" xfId="0" applyFont="1" applyFill="1" applyBorder="1" applyAlignment="1" applyProtection="1">
      <alignment horizontal="left" vertical="top"/>
      <protection locked="0"/>
    </xf>
    <xf numFmtId="0" fontId="6" fillId="35" borderId="0" xfId="0" applyFont="1" applyFill="1" applyBorder="1" applyAlignment="1" applyProtection="1">
      <alignment horizontal="left" vertical="top"/>
      <protection locked="0"/>
    </xf>
    <xf numFmtId="0" fontId="28" fillId="35" borderId="0" xfId="0" applyFont="1" applyFill="1" applyBorder="1" applyAlignment="1" applyProtection="1">
      <alignment horizontal="right"/>
      <protection locked="0"/>
    </xf>
    <xf numFmtId="0" fontId="23" fillId="35" borderId="0" xfId="0" applyFont="1" applyFill="1" applyBorder="1" applyAlignment="1" applyProtection="1">
      <alignment horizontal="right"/>
      <protection locked="0"/>
    </xf>
    <xf numFmtId="0" fontId="39" fillId="34" borderId="76" xfId="0" applyFont="1" applyFill="1" applyBorder="1" applyAlignment="1" applyProtection="1">
      <alignment horizontal="left"/>
      <protection locked="0"/>
    </xf>
    <xf numFmtId="0" fontId="39" fillId="34" borderId="73" xfId="0" applyFont="1" applyFill="1" applyBorder="1" applyAlignment="1" applyProtection="1">
      <alignment horizontal="left"/>
      <protection locked="0"/>
    </xf>
    <xf numFmtId="0" fontId="39" fillId="34" borderId="77" xfId="0" applyFont="1" applyFill="1" applyBorder="1" applyAlignment="1" applyProtection="1">
      <alignment horizontal="left"/>
      <protection locked="0"/>
    </xf>
    <xf numFmtId="0" fontId="42" fillId="0" borderId="72" xfId="0" applyFont="1" applyFill="1" applyBorder="1" applyAlignment="1" applyProtection="1">
      <alignment horizontal="left" vertical="center"/>
      <protection locked="0"/>
    </xf>
    <xf numFmtId="0" fontId="42" fillId="0" borderId="73" xfId="0" applyFont="1" applyFill="1" applyBorder="1" applyAlignment="1" applyProtection="1">
      <alignment horizontal="left" vertical="center"/>
      <protection locked="0"/>
    </xf>
    <xf numFmtId="0" fontId="42" fillId="0" borderId="78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15" xfId="0" applyFont="1" applyFill="1" applyBorder="1" applyAlignment="1" applyProtection="1">
      <alignment horizontal="left" vertical="center"/>
      <protection locked="0"/>
    </xf>
    <xf numFmtId="0" fontId="39" fillId="34" borderId="77" xfId="0" applyFont="1" applyFill="1" applyBorder="1" applyAlignment="1" applyProtection="1">
      <alignment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14" fontId="39" fillId="34" borderId="28" xfId="0" applyNumberFormat="1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34" borderId="59" xfId="0" applyFont="1" applyFill="1" applyBorder="1" applyAlignment="1" applyProtection="1">
      <alignment horizontal="center" vertical="center"/>
      <protection locked="0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0" fontId="10" fillId="34" borderId="77" xfId="0" applyFont="1" applyFill="1" applyBorder="1" applyAlignment="1" applyProtection="1">
      <alignment horizontal="left" vertical="center"/>
      <protection locked="0"/>
    </xf>
    <xf numFmtId="0" fontId="6" fillId="34" borderId="76" xfId="0" applyFont="1" applyFill="1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/>
      <protection locked="0"/>
    </xf>
    <xf numFmtId="0" fontId="0" fillId="34" borderId="78" xfId="0" applyFill="1" applyBorder="1" applyAlignment="1" applyProtection="1">
      <alignment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164" fontId="12" fillId="0" borderId="47" xfId="0" applyNumberFormat="1" applyFont="1" applyBorder="1" applyAlignment="1" applyProtection="1">
      <alignment horizontal="center" vertical="center"/>
      <protection hidden="1"/>
    </xf>
    <xf numFmtId="164" fontId="12" fillId="0" borderId="54" xfId="0" applyNumberFormat="1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75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75" xfId="0" applyNumberFormat="1" applyFont="1" applyBorder="1" applyAlignment="1" applyProtection="1">
      <alignment horizontal="center" vertical="center"/>
      <protection hidden="1"/>
    </xf>
    <xf numFmtId="2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75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75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right"/>
      <protection hidden="1"/>
    </xf>
    <xf numFmtId="0" fontId="2" fillId="0" borderId="46" xfId="0" applyFont="1" applyBorder="1" applyAlignment="1" applyProtection="1">
      <alignment horizontal="right"/>
      <protection hidden="1"/>
    </xf>
    <xf numFmtId="20" fontId="12" fillId="0" borderId="73" xfId="0" applyNumberFormat="1" applyFont="1" applyBorder="1" applyAlignment="1" applyProtection="1">
      <alignment horizontal="center" vertical="center"/>
      <protection hidden="1"/>
    </xf>
    <xf numFmtId="20" fontId="12" fillId="0" borderId="78" xfId="0" applyNumberFormat="1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12" fillId="0" borderId="72" xfId="0" applyFont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12" fillId="0" borderId="78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center" vertical="center"/>
      <protection hidden="1"/>
    </xf>
    <xf numFmtId="0" fontId="12" fillId="0" borderId="55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12" fillId="0" borderId="72" xfId="0" applyFont="1" applyBorder="1" applyAlignment="1" applyProtection="1">
      <alignment horizontal="center" vertical="top"/>
      <protection hidden="1"/>
    </xf>
    <xf numFmtId="0" fontId="12" fillId="0" borderId="73" xfId="0" applyFont="1" applyBorder="1" applyAlignment="1" applyProtection="1">
      <alignment horizontal="center" vertical="top"/>
      <protection hidden="1"/>
    </xf>
    <xf numFmtId="0" fontId="12" fillId="0" borderId="78" xfId="0" applyFont="1" applyBorder="1" applyAlignment="1" applyProtection="1">
      <alignment horizontal="center" vertical="top"/>
      <protection hidden="1"/>
    </xf>
    <xf numFmtId="0" fontId="12" fillId="32" borderId="37" xfId="0" applyFont="1" applyFill="1" applyBorder="1" applyAlignment="1" applyProtection="1">
      <alignment horizontal="left" vertical="center"/>
      <protection hidden="1"/>
    </xf>
    <xf numFmtId="0" fontId="12" fillId="32" borderId="52" xfId="0" applyFont="1" applyFill="1" applyBorder="1" applyAlignment="1" applyProtection="1">
      <alignment horizontal="left" vertical="center"/>
      <protection hidden="1"/>
    </xf>
    <xf numFmtId="0" fontId="12" fillId="32" borderId="33" xfId="0" applyFont="1" applyFill="1" applyBorder="1" applyAlignment="1" applyProtection="1">
      <alignment horizontal="left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0" fillId="0" borderId="61" xfId="0" applyBorder="1" applyAlignment="1">
      <alignment/>
    </xf>
    <xf numFmtId="20" fontId="12" fillId="0" borderId="61" xfId="0" applyNumberFormat="1" applyFont="1" applyBorder="1" applyAlignment="1" applyProtection="1">
      <alignment horizontal="left" vertical="top"/>
      <protection hidden="1"/>
    </xf>
    <xf numFmtId="0" fontId="12" fillId="0" borderId="62" xfId="0" applyFont="1" applyBorder="1" applyAlignment="1" applyProtection="1">
      <alignment horizontal="left" vertical="top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12" fillId="32" borderId="36" xfId="0" applyFont="1" applyFill="1" applyBorder="1" applyAlignment="1" applyProtection="1">
      <alignment horizontal="left" vertical="center"/>
      <protection hidden="1"/>
    </xf>
    <xf numFmtId="0" fontId="12" fillId="32" borderId="46" xfId="0" applyFont="1" applyFill="1" applyBorder="1" applyAlignment="1" applyProtection="1">
      <alignment horizontal="left" vertical="center"/>
      <protection hidden="1"/>
    </xf>
    <xf numFmtId="0" fontId="12" fillId="32" borderId="31" xfId="0" applyFont="1" applyFill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47" xfId="0" applyFont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center"/>
      <protection hidden="1"/>
    </xf>
    <xf numFmtId="0" fontId="12" fillId="32" borderId="16" xfId="0" applyFont="1" applyFill="1" applyBorder="1" applyAlignment="1" applyProtection="1">
      <alignment horizontal="center" vertical="center"/>
      <protection hidden="1"/>
    </xf>
    <xf numFmtId="0" fontId="12" fillId="32" borderId="55" xfId="0" applyFont="1" applyFill="1" applyBorder="1" applyAlignment="1" applyProtection="1">
      <alignment horizontal="center" vertical="center"/>
      <protection hidden="1"/>
    </xf>
    <xf numFmtId="0" fontId="12" fillId="32" borderId="50" xfId="0" applyFont="1" applyFill="1" applyBorder="1" applyAlignment="1" applyProtection="1">
      <alignment horizontal="center"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12" fillId="33" borderId="55" xfId="0" applyFont="1" applyFill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left"/>
      <protection hidden="1"/>
    </xf>
    <xf numFmtId="0" fontId="20" fillId="0" borderId="7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12" fillId="32" borderId="72" xfId="0" applyFont="1" applyFill="1" applyBorder="1" applyAlignment="1" applyProtection="1">
      <alignment horizontal="left" vertical="center"/>
      <protection hidden="1"/>
    </xf>
    <xf numFmtId="0" fontId="12" fillId="32" borderId="73" xfId="0" applyFont="1" applyFill="1" applyBorder="1" applyAlignment="1" applyProtection="1">
      <alignment horizontal="left" vertical="center"/>
      <protection hidden="1"/>
    </xf>
    <xf numFmtId="0" fontId="12" fillId="32" borderId="28" xfId="0" applyFont="1" applyFill="1" applyBorder="1" applyAlignment="1" applyProtection="1">
      <alignment horizontal="left" vertical="center"/>
      <protection hidden="1"/>
    </xf>
    <xf numFmtId="0" fontId="29" fillId="35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39" fillId="35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4" fillId="34" borderId="45" xfId="0" applyFont="1" applyFill="1" applyBorder="1" applyAlignment="1" applyProtection="1">
      <alignment horizontal="center"/>
      <protection locked="0"/>
    </xf>
    <xf numFmtId="0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37" fillId="34" borderId="72" xfId="0" applyFont="1" applyFill="1" applyBorder="1" applyAlignment="1" applyProtection="1">
      <alignment horizontal="left" vertical="center"/>
      <protection locked="0"/>
    </xf>
    <xf numFmtId="0" fontId="37" fillId="34" borderId="73" xfId="0" applyFont="1" applyFill="1" applyBorder="1" applyAlignment="1" applyProtection="1">
      <alignment horizontal="left" vertical="center"/>
      <protection locked="0"/>
    </xf>
    <xf numFmtId="0" fontId="37" fillId="34" borderId="78" xfId="0" applyFont="1" applyFill="1" applyBorder="1" applyAlignment="1" applyProtection="1">
      <alignment horizontal="left" vertical="center"/>
      <protection locked="0"/>
    </xf>
    <xf numFmtId="0" fontId="37" fillId="34" borderId="14" xfId="0" applyFont="1" applyFill="1" applyBorder="1" applyAlignment="1" applyProtection="1">
      <alignment horizontal="left" vertical="center"/>
      <protection locked="0"/>
    </xf>
    <xf numFmtId="0" fontId="37" fillId="34" borderId="47" xfId="0" applyFont="1" applyFill="1" applyBorder="1" applyAlignment="1" applyProtection="1">
      <alignment horizontal="left" vertical="center"/>
      <protection locked="0"/>
    </xf>
    <xf numFmtId="0" fontId="37" fillId="34" borderId="54" xfId="0" applyFont="1" applyFill="1" applyBorder="1" applyAlignment="1" applyProtection="1">
      <alignment horizontal="left" vertical="center"/>
      <protection locked="0"/>
    </xf>
    <xf numFmtId="0" fontId="34" fillId="34" borderId="16" xfId="0" applyFont="1" applyFill="1" applyBorder="1" applyAlignment="1" applyProtection="1">
      <alignment horizontal="center" vertical="center"/>
      <protection locked="0"/>
    </xf>
    <xf numFmtId="0" fontId="35" fillId="34" borderId="55" xfId="0" applyFont="1" applyFill="1" applyBorder="1" applyAlignment="1" applyProtection="1">
      <alignment horizontal="center"/>
      <protection locked="0"/>
    </xf>
    <xf numFmtId="0" fontId="22" fillId="34" borderId="37" xfId="0" applyFont="1" applyFill="1" applyBorder="1" applyAlignment="1" applyProtection="1">
      <alignment horizontal="center"/>
      <protection locked="0"/>
    </xf>
    <xf numFmtId="0" fontId="22" fillId="34" borderId="52" xfId="0" applyFon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 applyProtection="1">
      <alignment horizontal="center"/>
      <protection locked="0"/>
    </xf>
    <xf numFmtId="0" fontId="22" fillId="34" borderId="47" xfId="0" applyFont="1" applyFill="1" applyBorder="1" applyAlignment="1" applyProtection="1">
      <alignment horizontal="center"/>
      <protection locked="0"/>
    </xf>
    <xf numFmtId="0" fontId="22" fillId="34" borderId="54" xfId="0" applyFont="1" applyFill="1" applyBorder="1" applyAlignment="1" applyProtection="1">
      <alignment horizont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5" fillId="34" borderId="16" xfId="0" applyFont="1" applyFill="1" applyBorder="1" applyAlignment="1" applyProtection="1">
      <alignment horizontal="center" vertical="center"/>
      <protection locked="0"/>
    </xf>
    <xf numFmtId="0" fontId="25" fillId="34" borderId="50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Alignment="1" applyProtection="1">
      <alignment/>
      <protection locked="0"/>
    </xf>
    <xf numFmtId="0" fontId="17" fillId="34" borderId="79" xfId="0" applyFont="1" applyFill="1" applyBorder="1" applyAlignment="1" applyProtection="1">
      <alignment horizontal="center" vertical="center"/>
      <protection locked="0"/>
    </xf>
    <xf numFmtId="0" fontId="17" fillId="34" borderId="13" xfId="0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37" fillId="34" borderId="72" xfId="0" applyFont="1" applyFill="1" applyBorder="1" applyAlignment="1" applyProtection="1">
      <alignment horizontal="right" vertical="center"/>
      <protection locked="0"/>
    </xf>
    <xf numFmtId="0" fontId="37" fillId="34" borderId="73" xfId="0" applyFont="1" applyFill="1" applyBorder="1" applyAlignment="1" applyProtection="1">
      <alignment horizontal="right" vertical="center"/>
      <protection locked="0"/>
    </xf>
    <xf numFmtId="0" fontId="37" fillId="34" borderId="14" xfId="0" applyFont="1" applyFill="1" applyBorder="1" applyAlignment="1" applyProtection="1">
      <alignment horizontal="right" vertical="center"/>
      <protection locked="0"/>
    </xf>
    <xf numFmtId="0" fontId="37" fillId="34" borderId="47" xfId="0" applyFont="1" applyFill="1" applyBorder="1" applyAlignment="1" applyProtection="1">
      <alignment horizontal="right" vertical="center"/>
      <protection locked="0"/>
    </xf>
    <xf numFmtId="0" fontId="38" fillId="34" borderId="73" xfId="0" applyFont="1" applyFill="1" applyBorder="1" applyAlignment="1" applyProtection="1">
      <alignment horizontal="center" vertical="center"/>
      <protection locked="0"/>
    </xf>
    <xf numFmtId="0" fontId="38" fillId="34" borderId="47" xfId="0" applyFont="1" applyFill="1" applyBorder="1" applyAlignment="1" applyProtection="1">
      <alignment horizontal="center" vertical="center"/>
      <protection locked="0"/>
    </xf>
    <xf numFmtId="0" fontId="17" fillId="34" borderId="80" xfId="0" applyFont="1" applyFill="1" applyBorder="1" applyAlignment="1" applyProtection="1">
      <alignment horizontal="center" vertical="center"/>
      <protection locked="0"/>
    </xf>
    <xf numFmtId="0" fontId="22" fillId="34" borderId="39" xfId="0" applyFont="1" applyFill="1" applyBorder="1" applyAlignment="1" applyProtection="1">
      <alignment horizontal="center"/>
      <protection locked="0"/>
    </xf>
    <xf numFmtId="0" fontId="22" fillId="34" borderId="45" xfId="0" applyFont="1" applyFill="1" applyBorder="1" applyAlignment="1" applyProtection="1">
      <alignment horizontal="center"/>
      <protection locked="0"/>
    </xf>
    <xf numFmtId="0" fontId="22" fillId="34" borderId="39" xfId="0" applyFont="1" applyFill="1" applyBorder="1" applyAlignment="1" applyProtection="1">
      <alignment horizontal="left"/>
      <protection locked="0"/>
    </xf>
    <xf numFmtId="0" fontId="22" fillId="34" borderId="37" xfId="0" applyFont="1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/>
      <protection locked="0"/>
    </xf>
    <xf numFmtId="0" fontId="34" fillId="34" borderId="16" xfId="0" applyFont="1" applyFill="1" applyBorder="1" applyAlignment="1" applyProtection="1">
      <alignment horizontal="center"/>
      <protection locked="0"/>
    </xf>
    <xf numFmtId="0" fontId="34" fillId="34" borderId="55" xfId="0" applyFont="1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/>
      <protection locked="0"/>
    </xf>
    <xf numFmtId="0" fontId="35" fillId="34" borderId="50" xfId="0" applyFont="1" applyFill="1" applyBorder="1" applyAlignment="1" applyProtection="1">
      <alignment horizontal="center"/>
      <protection locked="0"/>
    </xf>
    <xf numFmtId="0" fontId="35" fillId="34" borderId="55" xfId="0" applyFont="1" applyFill="1" applyBorder="1" applyAlignment="1" applyProtection="1">
      <alignment horizontal="center"/>
      <protection locked="0"/>
    </xf>
    <xf numFmtId="0" fontId="34" fillId="34" borderId="72" xfId="0" applyFont="1" applyFill="1" applyBorder="1" applyAlignment="1" applyProtection="1">
      <alignment horizontal="left" vertical="center"/>
      <protection locked="0"/>
    </xf>
    <xf numFmtId="0" fontId="34" fillId="34" borderId="73" xfId="0" applyFont="1" applyFill="1" applyBorder="1" applyAlignment="1" applyProtection="1">
      <alignment horizontal="left" vertical="center"/>
      <protection locked="0"/>
    </xf>
    <xf numFmtId="0" fontId="34" fillId="34" borderId="78" xfId="0" applyFont="1" applyFill="1" applyBorder="1" applyAlignment="1" applyProtection="1">
      <alignment horizontal="left" vertical="center"/>
      <protection locked="0"/>
    </xf>
    <xf numFmtId="0" fontId="34" fillId="34" borderId="14" xfId="0" applyFont="1" applyFill="1" applyBorder="1" applyAlignment="1" applyProtection="1">
      <alignment horizontal="left" vertical="center"/>
      <protection locked="0"/>
    </xf>
    <xf numFmtId="0" fontId="34" fillId="34" borderId="47" xfId="0" applyFont="1" applyFill="1" applyBorder="1" applyAlignment="1" applyProtection="1">
      <alignment horizontal="left" vertical="center"/>
      <protection locked="0"/>
    </xf>
    <xf numFmtId="0" fontId="34" fillId="34" borderId="54" xfId="0" applyFont="1" applyFill="1" applyBorder="1" applyAlignment="1" applyProtection="1">
      <alignment horizontal="left" vertical="center"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52" xfId="0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34" fillId="34" borderId="50" xfId="0" applyFont="1" applyFill="1" applyBorder="1" applyAlignment="1" applyProtection="1">
      <alignment horizontal="center"/>
      <protection locked="0"/>
    </xf>
    <xf numFmtId="0" fontId="0" fillId="34" borderId="72" xfId="0" applyFill="1" applyBorder="1" applyAlignment="1" applyProtection="1">
      <alignment horizontal="left"/>
      <protection locked="0"/>
    </xf>
    <xf numFmtId="0" fontId="0" fillId="34" borderId="73" xfId="0" applyFill="1" applyBorder="1" applyAlignment="1" applyProtection="1">
      <alignment horizontal="left"/>
      <protection locked="0"/>
    </xf>
    <xf numFmtId="0" fontId="0" fillId="34" borderId="78" xfId="0" applyFill="1" applyBorder="1" applyAlignment="1" applyProtection="1">
      <alignment horizontal="left"/>
      <protection locked="0"/>
    </xf>
    <xf numFmtId="0" fontId="2" fillId="34" borderId="72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54" xfId="0" applyFill="1" applyBorder="1" applyAlignment="1" applyProtection="1">
      <alignment horizontal="left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50" fillId="35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27" fillId="34" borderId="0" xfId="0" applyFont="1" applyFill="1" applyAlignment="1" applyProtection="1">
      <alignment horizontal="center"/>
      <protection locked="0"/>
    </xf>
    <xf numFmtId="0" fontId="28" fillId="34" borderId="0" xfId="0" applyFont="1" applyFill="1" applyAlignment="1" applyProtection="1">
      <alignment horizontal="center"/>
      <protection locked="0"/>
    </xf>
    <xf numFmtId="0" fontId="28" fillId="34" borderId="47" xfId="0" applyFont="1" applyFill="1" applyBorder="1" applyAlignment="1" applyProtection="1">
      <alignment horizontal="center"/>
      <protection locked="0"/>
    </xf>
    <xf numFmtId="0" fontId="23" fillId="34" borderId="47" xfId="0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5" fillId="0" borderId="27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35" fillId="0" borderId="37" xfId="0" applyFont="1" applyFill="1" applyBorder="1" applyAlignment="1">
      <alignment/>
    </xf>
    <xf numFmtId="0" fontId="0" fillId="0" borderId="52" xfId="0" applyFill="1" applyBorder="1" applyAlignment="1">
      <alignment/>
    </xf>
    <xf numFmtId="0" fontId="35" fillId="0" borderId="61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56" fillId="0" borderId="0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0" fontId="40" fillId="34" borderId="0" xfId="0" applyFont="1" applyFill="1" applyAlignment="1">
      <alignment horizontal="center" vertical="center"/>
    </xf>
    <xf numFmtId="0" fontId="25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 vertical="center"/>
      <protection locked="0"/>
    </xf>
    <xf numFmtId="0" fontId="32" fillId="34" borderId="0" xfId="0" applyFont="1" applyFill="1" applyBorder="1" applyAlignment="1" applyProtection="1">
      <alignment horizontal="center" vertical="center"/>
      <protection hidden="1" locked="0"/>
    </xf>
    <xf numFmtId="0" fontId="22" fillId="34" borderId="0" xfId="0" applyFont="1" applyFill="1" applyAlignment="1">
      <alignment horizontal="center"/>
    </xf>
    <xf numFmtId="0" fontId="25" fillId="34" borderId="0" xfId="0" applyFont="1" applyFill="1" applyAlignment="1">
      <alignment horizontal="right"/>
    </xf>
    <xf numFmtId="0" fontId="22" fillId="34" borderId="0" xfId="0" applyFont="1" applyFill="1" applyAlignment="1" applyProtection="1">
      <alignment horizontal="left" indent="1"/>
      <protection locked="0"/>
    </xf>
    <xf numFmtId="165" fontId="0" fillId="34" borderId="0" xfId="0" applyNumberFormat="1" applyFill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361950</xdr:colOff>
      <xdr:row>1</xdr:row>
      <xdr:rowOff>66675</xdr:rowOff>
    </xdr:from>
    <xdr:to>
      <xdr:col>77</xdr:col>
      <xdr:colOff>85725</xdr:colOff>
      <xdr:row>52</xdr:row>
      <xdr:rowOff>9525</xdr:rowOff>
    </xdr:to>
    <xdr:sp>
      <xdr:nvSpPr>
        <xdr:cNvPr id="1" name="Rectangle 8"/>
        <xdr:cNvSpPr>
          <a:spLocks/>
        </xdr:cNvSpPr>
      </xdr:nvSpPr>
      <xdr:spPr>
        <a:xfrm flipH="1">
          <a:off x="13582650" y="228600"/>
          <a:ext cx="11153775" cy="1041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11</xdr:row>
      <xdr:rowOff>0</xdr:rowOff>
    </xdr:from>
    <xdr:to>
      <xdr:col>51</xdr:col>
      <xdr:colOff>19050</xdr:colOff>
      <xdr:row>31</xdr:row>
      <xdr:rowOff>0</xdr:rowOff>
    </xdr:to>
    <xdr:sp>
      <xdr:nvSpPr>
        <xdr:cNvPr id="2" name="Rectangle 9"/>
        <xdr:cNvSpPr>
          <a:spLocks/>
        </xdr:cNvSpPr>
      </xdr:nvSpPr>
      <xdr:spPr>
        <a:xfrm flipH="1">
          <a:off x="10858500" y="2047875"/>
          <a:ext cx="390525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28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4325" y="161925"/>
          <a:ext cx="7277100" cy="10125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30</xdr:col>
      <xdr:colOff>0</xdr:colOff>
      <xdr:row>43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162550" y="200025"/>
          <a:ext cx="3429000" cy="683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21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200025"/>
          <a:ext cx="325755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20</xdr:col>
      <xdr:colOff>0</xdr:colOff>
      <xdr:row>43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762000" y="3762375"/>
          <a:ext cx="32575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  <sheetName val="Lizenzen.UCI.ID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10144059431</v>
          </cell>
          <cell r="E109" t="str">
            <v>NDS</v>
          </cell>
          <cell r="F109" t="str">
            <v>NDS  10144059431</v>
          </cell>
          <cell r="G109" t="str">
            <v>RSVL Gifhorn I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40943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10132449541</v>
          </cell>
          <cell r="E471" t="str">
            <v>NDS</v>
          </cell>
          <cell r="F471" t="str">
            <v>NDS  10132449541</v>
          </cell>
          <cell r="G471" t="str">
            <v>RCG Hahndorf I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10144063168</v>
          </cell>
          <cell r="E521" t="str">
            <v>NDS</v>
          </cell>
          <cell r="F521" t="str">
            <v>NDS  10144063168</v>
          </cell>
          <cell r="G521" t="str">
            <v>RSVL Gifhorn I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10146426433</v>
          </cell>
          <cell r="E670" t="str">
            <v>NDS</v>
          </cell>
          <cell r="F670" t="str">
            <v>NDS  10146426433</v>
          </cell>
          <cell r="G670" t="str">
            <v>RVS Obernfeld I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II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40851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10145554746</v>
          </cell>
          <cell r="E1035" t="str">
            <v>NDS</v>
          </cell>
          <cell r="F1035" t="str">
            <v>NDS  10145554746</v>
          </cell>
          <cell r="G1035" t="str">
            <v>RVS Obernfeld I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1:AY53"/>
  <sheetViews>
    <sheetView zoomScale="88" zoomScaleNormal="88" zoomScalePageLayoutView="0" workbookViewId="0" topLeftCell="A1">
      <selection activeCell="T15" sqref="T15:AB24"/>
    </sheetView>
  </sheetViews>
  <sheetFormatPr defaultColWidth="11.421875" defaultRowHeight="12.75"/>
  <cols>
    <col min="1" max="1" width="4.7109375" style="143" customWidth="1"/>
    <col min="2" max="2" width="3.7109375" style="143" customWidth="1"/>
    <col min="3" max="3" width="2.00390625" style="143" customWidth="1"/>
    <col min="4" max="4" width="3.421875" style="143" customWidth="1"/>
    <col min="5" max="5" width="1.57421875" style="143" customWidth="1"/>
    <col min="6" max="6" width="2.7109375" style="143" customWidth="1"/>
    <col min="7" max="7" width="4.57421875" style="143" customWidth="1"/>
    <col min="8" max="8" width="2.7109375" style="143" customWidth="1"/>
    <col min="9" max="9" width="4.00390625" style="143" customWidth="1"/>
    <col min="10" max="10" width="8.28125" style="143" customWidth="1"/>
    <col min="11" max="11" width="2.140625" style="143" customWidth="1"/>
    <col min="12" max="12" width="1.8515625" style="143" customWidth="1"/>
    <col min="13" max="13" width="2.7109375" style="143" customWidth="1"/>
    <col min="14" max="14" width="5.57421875" style="143" customWidth="1"/>
    <col min="15" max="15" width="9.57421875" style="143" customWidth="1"/>
    <col min="16" max="16" width="2.28125" style="143" customWidth="1"/>
    <col min="17" max="17" width="1.421875" style="143" customWidth="1"/>
    <col min="18" max="18" width="2.57421875" style="143" customWidth="1"/>
    <col min="19" max="19" width="1.8515625" style="143" hidden="1" customWidth="1"/>
    <col min="20" max="20" width="4.140625" style="143" customWidth="1"/>
    <col min="21" max="22" width="2.00390625" style="143" customWidth="1"/>
    <col min="23" max="23" width="3.421875" style="143" customWidth="1"/>
    <col min="24" max="24" width="10.00390625" style="143" customWidth="1"/>
    <col min="25" max="25" width="2.28125" style="143" customWidth="1"/>
    <col min="26" max="26" width="1.8515625" style="143" customWidth="1"/>
    <col min="27" max="27" width="4.57421875" style="143" customWidth="1"/>
    <col min="28" max="28" width="3.28125" style="143" customWidth="1"/>
    <col min="29" max="29" width="4.00390625" style="143" customWidth="1"/>
    <col min="30" max="30" width="1.28515625" style="143" customWidth="1"/>
    <col min="31" max="31" width="4.00390625" style="143" customWidth="1"/>
    <col min="32" max="32" width="4.421875" style="143" customWidth="1"/>
    <col min="33" max="33" width="1.57421875" style="143" customWidth="1"/>
    <col min="34" max="34" width="5.7109375" style="143" customWidth="1"/>
    <col min="35" max="35" width="1.57421875" style="143" customWidth="1"/>
    <col min="36" max="36" width="2.140625" style="143" customWidth="1"/>
    <col min="37" max="37" width="3.00390625" style="143" customWidth="1"/>
    <col min="38" max="45" width="2.7109375" style="143" customWidth="1"/>
    <col min="46" max="46" width="6.00390625" style="143" customWidth="1"/>
    <col min="47" max="62" width="2.7109375" style="143" customWidth="1"/>
    <col min="63" max="16384" width="11.421875" style="143" customWidth="1"/>
  </cols>
  <sheetData>
    <row r="1" spans="40:51" ht="12.75"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</row>
    <row r="2" spans="40:51" ht="9.75" customHeight="1">
      <c r="AN2" s="162"/>
      <c r="AY2" s="162"/>
    </row>
    <row r="3" spans="4:51" ht="15" customHeight="1">
      <c r="D3" s="386" t="s">
        <v>157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229"/>
      <c r="AE3" s="230" t="s">
        <v>158</v>
      </c>
      <c r="AF3" s="231"/>
      <c r="AG3" s="231"/>
      <c r="AH3" s="231"/>
      <c r="AI3" s="231"/>
      <c r="AJ3" s="231"/>
      <c r="AK3" s="232"/>
      <c r="AL3" s="233">
        <f>Optionen!P9</f>
        <v>3</v>
      </c>
      <c r="AN3" s="162"/>
      <c r="AY3" s="162"/>
    </row>
    <row r="4" spans="4:51" ht="15" customHeight="1"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229"/>
      <c r="AE4" s="230" t="s">
        <v>160</v>
      </c>
      <c r="AF4" s="231"/>
      <c r="AG4" s="231"/>
      <c r="AH4" s="231"/>
      <c r="AI4" s="231"/>
      <c r="AJ4" s="231"/>
      <c r="AK4" s="232"/>
      <c r="AL4" s="232"/>
      <c r="AN4" s="162"/>
      <c r="AY4" s="162"/>
    </row>
    <row r="5" spans="4:51" ht="6.75" customHeight="1"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N5" s="162"/>
      <c r="AY5" s="162"/>
    </row>
    <row r="6" spans="4:51" ht="18" customHeight="1">
      <c r="D6" s="234"/>
      <c r="E6" s="234"/>
      <c r="F6" s="234"/>
      <c r="G6" s="235"/>
      <c r="H6" s="235"/>
      <c r="I6" s="235"/>
      <c r="J6" s="236"/>
      <c r="K6" s="236"/>
      <c r="L6" s="236"/>
      <c r="M6" s="236"/>
      <c r="N6" s="236"/>
      <c r="O6" s="388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164"/>
      <c r="AN6" s="165"/>
      <c r="AY6" s="162"/>
    </row>
    <row r="7" spans="4:51" s="166" customFormat="1" ht="18" customHeight="1">
      <c r="D7" s="230" t="s">
        <v>170</v>
      </c>
      <c r="E7" s="230"/>
      <c r="F7" s="230" t="s">
        <v>175</v>
      </c>
      <c r="G7" s="237"/>
      <c r="H7" s="237"/>
      <c r="I7" s="237"/>
      <c r="J7" s="238"/>
      <c r="K7" s="238"/>
      <c r="L7" s="238"/>
      <c r="M7" s="238"/>
      <c r="N7" s="238"/>
      <c r="O7" s="239"/>
      <c r="P7" s="240"/>
      <c r="Q7" s="240"/>
      <c r="R7" s="240"/>
      <c r="S7" s="240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168"/>
      <c r="AN7" s="169"/>
      <c r="AY7" s="170"/>
    </row>
    <row r="8" spans="4:50" s="166" customFormat="1" ht="16.5" customHeight="1">
      <c r="D8" s="377" t="s">
        <v>176</v>
      </c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242"/>
      <c r="U8" s="242"/>
      <c r="V8" s="243"/>
      <c r="W8" s="244" t="s">
        <v>180</v>
      </c>
      <c r="X8" s="242"/>
      <c r="Y8" s="244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167"/>
      <c r="AN8" s="167"/>
      <c r="AO8" s="167"/>
      <c r="AP8" s="167"/>
      <c r="AU8" s="170"/>
      <c r="AV8" s="171"/>
      <c r="AW8" s="171"/>
      <c r="AX8" s="170"/>
    </row>
    <row r="9" spans="4:50" s="166" customFormat="1" ht="16.5" customHeight="1">
      <c r="D9" s="245" t="s">
        <v>177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7"/>
      <c r="R9" s="246"/>
      <c r="S9" s="246"/>
      <c r="T9" s="246"/>
      <c r="U9" s="246"/>
      <c r="V9" s="246"/>
      <c r="W9" s="245" t="s">
        <v>181</v>
      </c>
      <c r="X9" s="246"/>
      <c r="Y9" s="246"/>
      <c r="Z9" s="246"/>
      <c r="AA9" s="246"/>
      <c r="AB9" s="246"/>
      <c r="AC9" s="246"/>
      <c r="AD9" s="246"/>
      <c r="AE9" s="246"/>
      <c r="AF9" s="246"/>
      <c r="AG9" s="245"/>
      <c r="AH9" s="245"/>
      <c r="AI9" s="245"/>
      <c r="AJ9" s="245"/>
      <c r="AK9" s="245"/>
      <c r="AL9" s="245"/>
      <c r="AM9" s="167"/>
      <c r="AN9" s="167"/>
      <c r="AO9" s="167"/>
      <c r="AP9" s="167"/>
      <c r="AU9" s="170"/>
      <c r="AV9" s="171"/>
      <c r="AW9" s="171"/>
      <c r="AX9" s="170"/>
    </row>
    <row r="10" spans="4:50" s="166" customFormat="1" ht="16.5" customHeight="1">
      <c r="D10" s="245" t="s">
        <v>178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247"/>
      <c r="R10" s="246"/>
      <c r="S10" s="246"/>
      <c r="T10" s="246"/>
      <c r="U10" s="246"/>
      <c r="V10" s="246"/>
      <c r="W10" s="245" t="s">
        <v>175</v>
      </c>
      <c r="X10" s="246"/>
      <c r="Y10" s="246"/>
      <c r="Z10" s="246"/>
      <c r="AA10" s="246"/>
      <c r="AB10" s="246"/>
      <c r="AC10" s="246"/>
      <c r="AD10" s="246"/>
      <c r="AE10" s="246"/>
      <c r="AF10" s="246"/>
      <c r="AG10" s="245"/>
      <c r="AH10" s="245"/>
      <c r="AI10" s="245"/>
      <c r="AJ10" s="245"/>
      <c r="AK10" s="245"/>
      <c r="AL10" s="245"/>
      <c r="AM10" s="167"/>
      <c r="AN10" s="167"/>
      <c r="AO10" s="167"/>
      <c r="AP10" s="167"/>
      <c r="AU10" s="170"/>
      <c r="AV10" s="171"/>
      <c r="AW10" s="171"/>
      <c r="AX10" s="170"/>
    </row>
    <row r="11" spans="4:50" s="166" customFormat="1" ht="16.5" customHeight="1">
      <c r="D11" s="245" t="s">
        <v>179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5" t="s">
        <v>173</v>
      </c>
      <c r="X11" s="246"/>
      <c r="Y11" s="246"/>
      <c r="Z11" s="246"/>
      <c r="AA11" s="246"/>
      <c r="AB11" s="246"/>
      <c r="AC11" s="246"/>
      <c r="AD11" s="246"/>
      <c r="AE11" s="246"/>
      <c r="AF11" s="246"/>
      <c r="AG11" s="245"/>
      <c r="AH11" s="245"/>
      <c r="AI11" s="245"/>
      <c r="AJ11" s="245"/>
      <c r="AK11" s="245"/>
      <c r="AL11" s="245"/>
      <c r="AM11" s="167"/>
      <c r="AN11" s="167"/>
      <c r="AO11" s="167"/>
      <c r="AP11" s="167"/>
      <c r="AU11" s="170"/>
      <c r="AV11" s="171"/>
      <c r="AW11" s="171"/>
      <c r="AX11" s="170"/>
    </row>
    <row r="12" spans="4:42" s="166" customFormat="1" ht="14.25" customHeight="1"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248"/>
      <c r="AG12" s="248"/>
      <c r="AH12" s="248"/>
      <c r="AI12" s="248"/>
      <c r="AJ12" s="248"/>
      <c r="AK12" s="249"/>
      <c r="AL12" s="250"/>
      <c r="AO12" s="168"/>
      <c r="AP12" s="172"/>
    </row>
    <row r="13" spans="4:38" s="166" customFormat="1" ht="18.75" customHeight="1" thickBot="1">
      <c r="D13" s="378" t="s">
        <v>191</v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82" t="s">
        <v>190</v>
      </c>
      <c r="U13" s="382"/>
      <c r="V13" s="382"/>
      <c r="W13" s="382"/>
      <c r="X13" s="382"/>
      <c r="Y13" s="382"/>
      <c r="Z13" s="382"/>
      <c r="AA13" s="382"/>
      <c r="AB13" s="382"/>
      <c r="AC13" s="382" t="s">
        <v>156</v>
      </c>
      <c r="AD13" s="382"/>
      <c r="AE13" s="382"/>
      <c r="AF13" s="248" t="s">
        <v>163</v>
      </c>
      <c r="AG13" s="248"/>
      <c r="AH13" s="248" t="s">
        <v>84</v>
      </c>
      <c r="AI13" s="248"/>
      <c r="AJ13" s="248"/>
      <c r="AK13" s="249"/>
      <c r="AL13" s="250"/>
    </row>
    <row r="14" spans="4:46" ht="15" customHeight="1" thickBot="1">
      <c r="D14" s="401" t="s">
        <v>45</v>
      </c>
      <c r="E14" s="402"/>
      <c r="F14" s="402"/>
      <c r="G14" s="402"/>
      <c r="H14" s="402"/>
      <c r="I14" s="402"/>
      <c r="J14" s="403"/>
      <c r="K14" s="401" t="s">
        <v>46</v>
      </c>
      <c r="L14" s="402"/>
      <c r="M14" s="402"/>
      <c r="N14" s="402"/>
      <c r="O14" s="402"/>
      <c r="P14" s="402"/>
      <c r="Q14" s="402"/>
      <c r="R14" s="402"/>
      <c r="S14" s="404"/>
      <c r="T14" s="383" t="s">
        <v>172</v>
      </c>
      <c r="U14" s="384"/>
      <c r="V14" s="384"/>
      <c r="W14" s="384"/>
      <c r="X14" s="385"/>
      <c r="Y14" s="383" t="s">
        <v>47</v>
      </c>
      <c r="Z14" s="384"/>
      <c r="AA14" s="384"/>
      <c r="AB14" s="385"/>
      <c r="AC14" s="373" t="s">
        <v>10</v>
      </c>
      <c r="AD14" s="374"/>
      <c r="AE14" s="374"/>
      <c r="AF14" s="373" t="s">
        <v>9</v>
      </c>
      <c r="AG14" s="374"/>
      <c r="AH14" s="375"/>
      <c r="AI14" s="373" t="s">
        <v>11</v>
      </c>
      <c r="AJ14" s="374"/>
      <c r="AK14" s="375"/>
      <c r="AL14" s="142"/>
      <c r="AM14" s="142"/>
      <c r="AN14" s="142"/>
      <c r="AO14" s="142"/>
      <c r="AP14" s="373" t="s">
        <v>70</v>
      </c>
      <c r="AQ14" s="374"/>
      <c r="AR14" s="374"/>
      <c r="AS14" s="374"/>
      <c r="AT14" s="375"/>
    </row>
    <row r="15" spans="3:46" ht="15" customHeight="1">
      <c r="C15" s="173" t="str">
        <f>IF(ISNUMBER(AP15),VLOOKUP(AP15,'[1]Lizenzen'!$D$8:$K$2836,4,FALSE),"")</f>
        <v>RV Etelsen I</v>
      </c>
      <c r="D15" s="393" t="str">
        <f>IF(C16="x",0,IF(C15=C16,C15,"Zugehörigkeit"))</f>
        <v>RV Etelsen I</v>
      </c>
      <c r="E15" s="394"/>
      <c r="F15" s="394"/>
      <c r="G15" s="394"/>
      <c r="H15" s="394"/>
      <c r="I15" s="394"/>
      <c r="J15" s="395"/>
      <c r="K15" s="399" t="str">
        <f>IF(ISNUMBER(AP15),VLOOKUP(AP15,'[1]Lizenzen'!$D$8:$K$2836,7,FALSE),"")</f>
        <v>Laviletta   Mario</v>
      </c>
      <c r="L15" s="400"/>
      <c r="M15" s="400"/>
      <c r="N15" s="400"/>
      <c r="O15" s="400"/>
      <c r="P15" s="400"/>
      <c r="Q15" s="400"/>
      <c r="R15" s="400"/>
      <c r="S15" s="400"/>
      <c r="T15" s="390"/>
      <c r="U15" s="391"/>
      <c r="V15" s="391"/>
      <c r="W15" s="391"/>
      <c r="X15" s="392"/>
      <c r="Y15" s="405"/>
      <c r="Z15" s="405"/>
      <c r="AA15" s="405"/>
      <c r="AB15" s="405"/>
      <c r="AC15" s="379" t="str">
        <f>REPT('RB Lizene Nr.- Eingabe'!AA52,1)</f>
        <v>9</v>
      </c>
      <c r="AD15" s="380"/>
      <c r="AE15" s="381"/>
      <c r="AF15" s="376" t="str">
        <f>REPT('RB Lizene Nr.- Eingabe'!Y52,1)</f>
        <v>10</v>
      </c>
      <c r="AG15" s="411" t="s">
        <v>14</v>
      </c>
      <c r="AH15" s="412" t="str">
        <f>REPT('RB Lizene Nr.- Eingabe'!Z52,1)</f>
        <v>10</v>
      </c>
      <c r="AI15" s="413" t="str">
        <f>REPT('RB Lizene Nr.- Eingabe'!L52,1)</f>
        <v>2</v>
      </c>
      <c r="AJ15" s="414"/>
      <c r="AK15" s="415"/>
      <c r="AL15" s="147"/>
      <c r="AM15" s="147"/>
      <c r="AN15" s="147"/>
      <c r="AO15" s="147"/>
      <c r="AP15" s="300">
        <v>10090010034</v>
      </c>
      <c r="AQ15" s="301"/>
      <c r="AR15" s="301"/>
      <c r="AS15" s="301"/>
      <c r="AT15" s="302"/>
    </row>
    <row r="16" spans="3:46" ht="15" customHeight="1" thickBot="1">
      <c r="C16" s="173" t="str">
        <f>IF(ISNUMBER(AP16),VLOOKUP(AP16,'[1]Lizenzen'!$D$8:$K$2836,4,FALSE),"x")</f>
        <v>RV Etelsen I</v>
      </c>
      <c r="D16" s="396"/>
      <c r="E16" s="397"/>
      <c r="F16" s="397"/>
      <c r="G16" s="397"/>
      <c r="H16" s="397"/>
      <c r="I16" s="397"/>
      <c r="J16" s="398"/>
      <c r="K16" s="346" t="str">
        <f>IF(ISNUMBER(AP16),VLOOKUP(AP16,'[1]Lizenzen'!$D$8:$K$2836,7,FALSE),"")</f>
        <v>Steffens   Per-Lasse</v>
      </c>
      <c r="L16" s="347"/>
      <c r="M16" s="347"/>
      <c r="N16" s="347"/>
      <c r="O16" s="347"/>
      <c r="P16" s="347"/>
      <c r="Q16" s="347"/>
      <c r="R16" s="347"/>
      <c r="S16" s="347"/>
      <c r="T16" s="311"/>
      <c r="U16" s="312"/>
      <c r="V16" s="312"/>
      <c r="W16" s="312"/>
      <c r="X16" s="313"/>
      <c r="Y16" s="358"/>
      <c r="Z16" s="358"/>
      <c r="AA16" s="358"/>
      <c r="AB16" s="358"/>
      <c r="AC16" s="366"/>
      <c r="AD16" s="367"/>
      <c r="AE16" s="368"/>
      <c r="AF16" s="360"/>
      <c r="AG16" s="343"/>
      <c r="AH16" s="351"/>
      <c r="AI16" s="372"/>
      <c r="AJ16" s="370"/>
      <c r="AK16" s="371"/>
      <c r="AL16" s="147"/>
      <c r="AM16" s="147"/>
      <c r="AN16" s="147"/>
      <c r="AO16" s="147"/>
      <c r="AP16" s="340">
        <v>10090010035</v>
      </c>
      <c r="AQ16" s="341"/>
      <c r="AR16" s="341"/>
      <c r="AS16" s="341"/>
      <c r="AT16" s="342"/>
    </row>
    <row r="17" spans="3:46" ht="15" customHeight="1">
      <c r="C17" s="173" t="str">
        <f>IF(ISNUMBER(AP17),VLOOKUP(AP17,'[1]Lizenzen'!$D$8:$K$2838,4,FALSE),"")</f>
        <v>RVM Bilshausen I</v>
      </c>
      <c r="D17" s="327" t="str">
        <f>IF(C18="x",0,IF(C17=C18,C17,"Zugehörigkeit"))</f>
        <v>RVM Bilshausen I</v>
      </c>
      <c r="E17" s="328"/>
      <c r="F17" s="328"/>
      <c r="G17" s="328"/>
      <c r="H17" s="328"/>
      <c r="I17" s="328"/>
      <c r="J17" s="329"/>
      <c r="K17" s="333" t="str">
        <f>IF(ISNUMBER(AP17),VLOOKUP(AP17,'[1]Lizenzen'!$D$8:$K$2836,7,FALSE),"")</f>
        <v>Jünemann   Lenny</v>
      </c>
      <c r="L17" s="334"/>
      <c r="M17" s="334"/>
      <c r="N17" s="334"/>
      <c r="O17" s="334"/>
      <c r="P17" s="334"/>
      <c r="Q17" s="334"/>
      <c r="R17" s="334"/>
      <c r="S17" s="334"/>
      <c r="T17" s="311"/>
      <c r="U17" s="312"/>
      <c r="V17" s="312"/>
      <c r="W17" s="312"/>
      <c r="X17" s="313"/>
      <c r="Y17" s="303"/>
      <c r="Z17" s="303"/>
      <c r="AA17" s="303"/>
      <c r="AB17" s="303"/>
      <c r="AC17" s="321" t="str">
        <f>REPT('RB Lizene Nr.- Eingabe'!AA53,1)</f>
        <v>12</v>
      </c>
      <c r="AD17" s="322"/>
      <c r="AE17" s="323"/>
      <c r="AF17" s="359" t="str">
        <f>REPT('RB Lizene Nr.- Eingabe'!Y53,1)</f>
        <v>35</v>
      </c>
      <c r="AG17" s="348" t="s">
        <v>14</v>
      </c>
      <c r="AH17" s="350" t="str">
        <f>REPT('RB Lizene Nr.- Eingabe'!Z53,1)</f>
        <v>0</v>
      </c>
      <c r="AI17" s="304" t="str">
        <f>REPT('RB Lizene Nr.- Eingabe'!L53,1)</f>
        <v>1</v>
      </c>
      <c r="AJ17" s="406" t="str">
        <f>REPT('RB Lizene Nr.- Eingabe'!AB53,1)</f>
        <v>0</v>
      </c>
      <c r="AK17" s="407" t="str">
        <f>REPT('RB Lizene Nr.- Eingabe'!AC53,1)</f>
        <v>1</v>
      </c>
      <c r="AL17" s="147"/>
      <c r="AM17" s="147"/>
      <c r="AN17" s="147"/>
      <c r="AO17" s="147"/>
      <c r="AP17" s="300">
        <v>10086782345</v>
      </c>
      <c r="AQ17" s="301"/>
      <c r="AR17" s="301"/>
      <c r="AS17" s="301"/>
      <c r="AT17" s="302"/>
    </row>
    <row r="18" spans="3:46" ht="15" customHeight="1" thickBot="1">
      <c r="C18" s="173" t="str">
        <f>IF(ISNUMBER(AP18),VLOOKUP(AP18,'[1]Lizenzen'!$D$8:$K$2838,4,FALSE),"x")</f>
        <v>RVM Bilshausen I</v>
      </c>
      <c r="D18" s="363"/>
      <c r="E18" s="364"/>
      <c r="F18" s="364"/>
      <c r="G18" s="364"/>
      <c r="H18" s="364"/>
      <c r="I18" s="364"/>
      <c r="J18" s="365"/>
      <c r="K18" s="346" t="str">
        <f>IF(ISNUMBER(AP18),VLOOKUP(AP18,'[1]Lizenzen'!$D$8:$K$2836,7,FALSE),"")</f>
        <v>Freiberg   Frederik</v>
      </c>
      <c r="L18" s="347"/>
      <c r="M18" s="347"/>
      <c r="N18" s="347"/>
      <c r="O18" s="347"/>
      <c r="P18" s="347"/>
      <c r="Q18" s="347"/>
      <c r="R18" s="347"/>
      <c r="S18" s="347"/>
      <c r="T18" s="311"/>
      <c r="U18" s="312"/>
      <c r="V18" s="312"/>
      <c r="W18" s="312"/>
      <c r="X18" s="313"/>
      <c r="Y18" s="358"/>
      <c r="Z18" s="358"/>
      <c r="AA18" s="358"/>
      <c r="AB18" s="358"/>
      <c r="AC18" s="366"/>
      <c r="AD18" s="367"/>
      <c r="AE18" s="368"/>
      <c r="AF18" s="360"/>
      <c r="AG18" s="349"/>
      <c r="AH18" s="351"/>
      <c r="AI18" s="408"/>
      <c r="AJ18" s="409"/>
      <c r="AK18" s="410"/>
      <c r="AL18" s="147"/>
      <c r="AM18" s="147"/>
      <c r="AN18" s="147"/>
      <c r="AO18" s="147"/>
      <c r="AP18" s="340">
        <v>10086781537</v>
      </c>
      <c r="AQ18" s="341"/>
      <c r="AR18" s="341"/>
      <c r="AS18" s="341"/>
      <c r="AT18" s="342"/>
    </row>
    <row r="19" spans="3:46" ht="15" customHeight="1">
      <c r="C19" s="173" t="str">
        <f>IF(ISNUMBER(AP19),VLOOKUP(AP19,'[1]Lizenzen'!$D$8:$K$2840,4,FALSE)," ")</f>
        <v>RCG Hahndorf I</v>
      </c>
      <c r="D19" s="327" t="str">
        <f>IF(C20="x",0,IF(C19=C20,C19,"Zugehörigkeit"))</f>
        <v>RCG Hahndorf I</v>
      </c>
      <c r="E19" s="328"/>
      <c r="F19" s="328"/>
      <c r="G19" s="328"/>
      <c r="H19" s="328"/>
      <c r="I19" s="328"/>
      <c r="J19" s="329"/>
      <c r="K19" s="333" t="str">
        <f>IF(ISNUMBER(AP19),VLOOKUP(AP19,'[1]Lizenzen'!$D$8:$K$2836,7,FALSE),"")</f>
        <v>Lehmann   Maximilian</v>
      </c>
      <c r="L19" s="334"/>
      <c r="M19" s="334"/>
      <c r="N19" s="334"/>
      <c r="O19" s="334"/>
      <c r="P19" s="334"/>
      <c r="Q19" s="334"/>
      <c r="R19" s="334"/>
      <c r="S19" s="334"/>
      <c r="T19" s="311"/>
      <c r="U19" s="312"/>
      <c r="V19" s="312"/>
      <c r="W19" s="312"/>
      <c r="X19" s="313"/>
      <c r="Y19" s="303"/>
      <c r="Z19" s="303"/>
      <c r="AA19" s="303"/>
      <c r="AB19" s="303"/>
      <c r="AC19" s="321" t="str">
        <f>REPT('RB Lizene Nr.- Eingabe'!AA54,1)</f>
        <v>0</v>
      </c>
      <c r="AD19" s="322"/>
      <c r="AE19" s="323"/>
      <c r="AF19" s="320" t="str">
        <f>REPT('RB Lizene Nr.- Eingabe'!Y54,1)</f>
        <v>0</v>
      </c>
      <c r="AG19" s="343" t="s">
        <v>14</v>
      </c>
      <c r="AH19" s="345" t="str">
        <f>REPT('RB Lizene Nr.- Eingabe'!Z54,1)</f>
        <v>20</v>
      </c>
      <c r="AI19" s="369" t="str">
        <f>REPT('RB Lizene Nr.- Eingabe'!L54,1)</f>
        <v>5</v>
      </c>
      <c r="AJ19" s="370"/>
      <c r="AK19" s="371"/>
      <c r="AL19" s="147"/>
      <c r="AM19" s="147"/>
      <c r="AN19" s="147"/>
      <c r="AO19" s="147"/>
      <c r="AP19" s="300">
        <v>10127479505</v>
      </c>
      <c r="AQ19" s="301"/>
      <c r="AR19" s="301"/>
      <c r="AS19" s="301"/>
      <c r="AT19" s="302"/>
    </row>
    <row r="20" spans="3:46" ht="15" customHeight="1" thickBot="1">
      <c r="C20" s="173" t="str">
        <f>IF(ISNUMBER(AP20),VLOOKUP(AP20,'[1]Lizenzen'!$D$8:$K$2840,4,FALSE),"x")</f>
        <v>RCG Hahndorf I</v>
      </c>
      <c r="D20" s="363"/>
      <c r="E20" s="364"/>
      <c r="F20" s="364"/>
      <c r="G20" s="364"/>
      <c r="H20" s="364"/>
      <c r="I20" s="364"/>
      <c r="J20" s="365"/>
      <c r="K20" s="346" t="str">
        <f>IF(ISNUMBER(AP20),VLOOKUP(AP20,'[1]Lizenzen'!$D$8:$K$2836,7,FALSE),"")</f>
        <v>Klipp   Noa</v>
      </c>
      <c r="L20" s="347"/>
      <c r="M20" s="347"/>
      <c r="N20" s="347"/>
      <c r="O20" s="347"/>
      <c r="P20" s="347"/>
      <c r="Q20" s="347"/>
      <c r="R20" s="347"/>
      <c r="S20" s="347"/>
      <c r="T20" s="311"/>
      <c r="U20" s="312"/>
      <c r="V20" s="312"/>
      <c r="W20" s="312"/>
      <c r="X20" s="313"/>
      <c r="Y20" s="358"/>
      <c r="Z20" s="358"/>
      <c r="AA20" s="358"/>
      <c r="AB20" s="358"/>
      <c r="AC20" s="366"/>
      <c r="AD20" s="367"/>
      <c r="AE20" s="368"/>
      <c r="AF20" s="320"/>
      <c r="AG20" s="343"/>
      <c r="AH20" s="345"/>
      <c r="AI20" s="372"/>
      <c r="AJ20" s="370"/>
      <c r="AK20" s="371"/>
      <c r="AL20" s="147"/>
      <c r="AM20" s="147"/>
      <c r="AN20" s="147"/>
      <c r="AO20" s="147"/>
      <c r="AP20" s="340">
        <v>10132449541</v>
      </c>
      <c r="AQ20" s="341"/>
      <c r="AR20" s="341"/>
      <c r="AS20" s="341"/>
      <c r="AT20" s="342"/>
    </row>
    <row r="21" spans="3:46" ht="15" customHeight="1">
      <c r="C21" s="173" t="str">
        <f>IF(ISNUMBER(AP21),VLOOKUP(AP21,'[1]Lizenzen'!$D$8:$K$2842,4,FALSE),"")</f>
        <v>RVS Obernfeld I</v>
      </c>
      <c r="D21" s="327" t="str">
        <f>IF(C22="x",0,IF(C21=C22,C21,"Zugehörigkeit"))</f>
        <v>RVS Obernfeld I</v>
      </c>
      <c r="E21" s="328"/>
      <c r="F21" s="328"/>
      <c r="G21" s="328"/>
      <c r="H21" s="328"/>
      <c r="I21" s="328"/>
      <c r="J21" s="329"/>
      <c r="K21" s="333" t="str">
        <f>IF(ISNUMBER(AP21),VLOOKUP(AP21,'[1]Lizenzen'!$D$8:$K$2836,7,FALSE),"")</f>
        <v>Weiß   Henning</v>
      </c>
      <c r="L21" s="334"/>
      <c r="M21" s="334"/>
      <c r="N21" s="334"/>
      <c r="O21" s="334"/>
      <c r="P21" s="334"/>
      <c r="Q21" s="334"/>
      <c r="R21" s="334"/>
      <c r="S21" s="334"/>
      <c r="T21" s="311"/>
      <c r="U21" s="312"/>
      <c r="V21" s="312"/>
      <c r="W21" s="312"/>
      <c r="X21" s="313"/>
      <c r="Y21" s="303"/>
      <c r="Z21" s="303"/>
      <c r="AA21" s="303"/>
      <c r="AB21" s="303"/>
      <c r="AC21" s="321" t="str">
        <f>REPT('RB Lizene Nr.- Eingabe'!AA55,1)</f>
        <v>6</v>
      </c>
      <c r="AD21" s="322"/>
      <c r="AE21" s="323"/>
      <c r="AF21" s="359" t="str">
        <f>REPT('RB Lizene Nr.- Eingabe'!Y55,1)</f>
        <v>8</v>
      </c>
      <c r="AG21" s="348" t="s">
        <v>14</v>
      </c>
      <c r="AH21" s="350" t="str">
        <f>REPT('RB Lizene Nr.- Eingabe'!Z55,1)</f>
        <v>13</v>
      </c>
      <c r="AI21" s="304" t="str">
        <f>REPT('RB Lizene Nr.- Eingabe'!L55,1)</f>
        <v>3</v>
      </c>
      <c r="AJ21" s="305"/>
      <c r="AK21" s="306"/>
      <c r="AL21" s="147"/>
      <c r="AM21" s="147"/>
      <c r="AN21" s="147"/>
      <c r="AO21" s="147"/>
      <c r="AP21" s="300">
        <v>10145554746</v>
      </c>
      <c r="AQ21" s="301"/>
      <c r="AR21" s="301"/>
      <c r="AS21" s="301"/>
      <c r="AT21" s="302"/>
    </row>
    <row r="22" spans="3:46" ht="15" customHeight="1" thickBot="1">
      <c r="C22" s="173" t="str">
        <f>IF(ISNUMBER(AP22),VLOOKUP(AP22,'[1]Lizenzen'!$D$8:$K$2842,4,FALSE),"x")</f>
        <v>RVS Obernfeld I</v>
      </c>
      <c r="D22" s="363"/>
      <c r="E22" s="364"/>
      <c r="F22" s="364"/>
      <c r="G22" s="364"/>
      <c r="H22" s="364"/>
      <c r="I22" s="364"/>
      <c r="J22" s="365"/>
      <c r="K22" s="346" t="str">
        <f>IF(ISNUMBER(AP22),VLOOKUP(AP22,'[1]Lizenzen'!$D$8:$K$2836,7,FALSE),"")</f>
        <v>Mühe   Jannes</v>
      </c>
      <c r="L22" s="347"/>
      <c r="M22" s="347"/>
      <c r="N22" s="347"/>
      <c r="O22" s="347"/>
      <c r="P22" s="347"/>
      <c r="Q22" s="347"/>
      <c r="R22" s="347"/>
      <c r="S22" s="347"/>
      <c r="T22" s="311"/>
      <c r="U22" s="312"/>
      <c r="V22" s="312"/>
      <c r="W22" s="312"/>
      <c r="X22" s="313"/>
      <c r="Y22" s="358"/>
      <c r="Z22" s="358"/>
      <c r="AA22" s="358"/>
      <c r="AB22" s="358"/>
      <c r="AC22" s="366"/>
      <c r="AD22" s="367"/>
      <c r="AE22" s="368"/>
      <c r="AF22" s="360"/>
      <c r="AG22" s="349"/>
      <c r="AH22" s="351"/>
      <c r="AI22" s="352"/>
      <c r="AJ22" s="353"/>
      <c r="AK22" s="354"/>
      <c r="AL22" s="147"/>
      <c r="AM22" s="147"/>
      <c r="AN22" s="147"/>
      <c r="AO22" s="147"/>
      <c r="AP22" s="340">
        <v>10146426433</v>
      </c>
      <c r="AQ22" s="341"/>
      <c r="AR22" s="341"/>
      <c r="AS22" s="341"/>
      <c r="AT22" s="342"/>
    </row>
    <row r="23" spans="3:46" ht="15" customHeight="1">
      <c r="C23" s="173" t="str">
        <f>IF(ISNUMBER(AP23),VLOOKUP(AP23,'[1]Lizenzen'!$D$8:$K$2844,4,FALSE),"")</f>
        <v>RV Etelsen II</v>
      </c>
      <c r="D23" s="327" t="str">
        <f>IF(C24="x",0,IF(C23=C24,C23,"Zugehörigkeit"))</f>
        <v>RV Etelsen II</v>
      </c>
      <c r="E23" s="328"/>
      <c r="F23" s="328"/>
      <c r="G23" s="328"/>
      <c r="H23" s="328"/>
      <c r="I23" s="328"/>
      <c r="J23" s="329"/>
      <c r="K23" s="333" t="str">
        <f>IF(ISNUMBER(AP23),VLOOKUP(AP23,'[1]Lizenzen'!$D$8:$K$2836,7,FALSE),"")</f>
        <v>Polack   Julian</v>
      </c>
      <c r="L23" s="334"/>
      <c r="M23" s="334"/>
      <c r="N23" s="334"/>
      <c r="O23" s="334"/>
      <c r="P23" s="334"/>
      <c r="Q23" s="334"/>
      <c r="R23" s="334"/>
      <c r="S23" s="334"/>
      <c r="T23" s="311"/>
      <c r="U23" s="312"/>
      <c r="V23" s="312"/>
      <c r="W23" s="312"/>
      <c r="X23" s="313"/>
      <c r="Y23" s="303"/>
      <c r="Z23" s="303"/>
      <c r="AA23" s="303"/>
      <c r="AB23" s="303"/>
      <c r="AC23" s="321" t="str">
        <f>REPT('RB Lizene Nr.- Eingabe'!AA56,1)</f>
        <v>3</v>
      </c>
      <c r="AD23" s="322"/>
      <c r="AE23" s="323"/>
      <c r="AF23" s="320" t="str">
        <f>REPT('RB Lizene Nr.- Eingabe'!Y56,1)</f>
        <v>6</v>
      </c>
      <c r="AG23" s="343" t="s">
        <v>14</v>
      </c>
      <c r="AH23" s="345" t="str">
        <f>REPT('RB Lizene Nr.- Eingabe'!Z56,1)</f>
        <v>16</v>
      </c>
      <c r="AI23" s="304" t="str">
        <f>REPT('RB Lizene Nr.- Eingabe'!L56,1)</f>
        <v>4</v>
      </c>
      <c r="AJ23" s="305"/>
      <c r="AK23" s="306"/>
      <c r="AL23" s="147"/>
      <c r="AM23" s="147"/>
      <c r="AN23" s="147"/>
      <c r="AO23" s="147"/>
      <c r="AP23" s="300">
        <v>10090010036</v>
      </c>
      <c r="AQ23" s="301"/>
      <c r="AR23" s="301"/>
      <c r="AS23" s="301"/>
      <c r="AT23" s="302"/>
    </row>
    <row r="24" spans="3:46" ht="15" customHeight="1" thickBot="1">
      <c r="C24" s="173" t="str">
        <f>IF(ISNUMBER(AP24),VLOOKUP(AP24,'[1]Lizenzen'!$D$8:$K$2844,4,FALSE),"x")</f>
        <v>RV Etelsen II</v>
      </c>
      <c r="D24" s="363"/>
      <c r="E24" s="364"/>
      <c r="F24" s="364"/>
      <c r="G24" s="364"/>
      <c r="H24" s="364"/>
      <c r="I24" s="364"/>
      <c r="J24" s="365"/>
      <c r="K24" s="346" t="str">
        <f>IF(ISNUMBER(AP24),VLOOKUP(AP24,'[1]Lizenzen'!$D$8:$K$2836,7,FALSE),"")</f>
        <v>Schwartz   Devin</v>
      </c>
      <c r="L24" s="347"/>
      <c r="M24" s="347"/>
      <c r="N24" s="347"/>
      <c r="O24" s="347"/>
      <c r="P24" s="347"/>
      <c r="Q24" s="347"/>
      <c r="R24" s="347"/>
      <c r="S24" s="347"/>
      <c r="T24" s="311"/>
      <c r="U24" s="312"/>
      <c r="V24" s="312"/>
      <c r="W24" s="312"/>
      <c r="X24" s="313"/>
      <c r="Y24" s="358"/>
      <c r="Z24" s="358"/>
      <c r="AA24" s="358"/>
      <c r="AB24" s="358"/>
      <c r="AC24" s="366"/>
      <c r="AD24" s="367"/>
      <c r="AE24" s="368"/>
      <c r="AF24" s="320"/>
      <c r="AG24" s="343"/>
      <c r="AH24" s="345"/>
      <c r="AI24" s="352"/>
      <c r="AJ24" s="353"/>
      <c r="AK24" s="354"/>
      <c r="AL24" s="147"/>
      <c r="AM24" s="147"/>
      <c r="AN24" s="147"/>
      <c r="AO24" s="147"/>
      <c r="AP24" s="340">
        <v>10090010037</v>
      </c>
      <c r="AQ24" s="341"/>
      <c r="AR24" s="341"/>
      <c r="AS24" s="341"/>
      <c r="AT24" s="342"/>
    </row>
    <row r="25" spans="3:46" ht="15" customHeight="1">
      <c r="C25" s="173">
        <f>IF(ISNUMBER(AP25),VLOOKUP(AP25,'[1]Lizenzen'!$D$8:$K$2846,4,FALSE),"")</f>
      </c>
      <c r="D25" s="327">
        <f>IF(C26="x",0,IF(C25=C26,C25,"Zugehörigkeit"))</f>
        <v>0</v>
      </c>
      <c r="E25" s="328"/>
      <c r="F25" s="328"/>
      <c r="G25" s="328"/>
      <c r="H25" s="328"/>
      <c r="I25" s="328"/>
      <c r="J25" s="329"/>
      <c r="K25" s="333">
        <f>IF(ISNUMBER(AP25),VLOOKUP(AP25,'[1]Lizenzen'!$D$8:$K$2836,7,FALSE),"")</f>
      </c>
      <c r="L25" s="334"/>
      <c r="M25" s="334"/>
      <c r="N25" s="334"/>
      <c r="O25" s="334"/>
      <c r="P25" s="334"/>
      <c r="Q25" s="334"/>
      <c r="R25" s="334"/>
      <c r="S25" s="334"/>
      <c r="T25" s="311">
        <f>IF(ISNUMBER(AP25),VLOOKUP(AP25,'[1]Lizenzen'!D8:K2846,3,FALSE),"")</f>
      </c>
      <c r="U25" s="312"/>
      <c r="V25" s="312"/>
      <c r="W25" s="312"/>
      <c r="X25" s="313"/>
      <c r="Y25" s="303">
        <f>IF(ISNUMBER(AP25),VLOOKUP(AP25,'[1]Lizenzen'!D8:K2846,8,FALSE),"")</f>
      </c>
      <c r="Z25" s="303"/>
      <c r="AA25" s="303"/>
      <c r="AB25" s="303"/>
      <c r="AC25" s="321">
        <f>REPT('RB Lizene Nr.- Eingabe'!AA57,1)</f>
      </c>
      <c r="AD25" s="322"/>
      <c r="AE25" s="323"/>
      <c r="AF25" s="359">
        <f>REPT('RB Lizene Nr.- Eingabe'!Y57,1)</f>
      </c>
      <c r="AG25" s="348" t="s">
        <v>14</v>
      </c>
      <c r="AH25" s="350">
        <f>REPT('RB Lizene Nr.- Eingabe'!Z57,1)</f>
      </c>
      <c r="AI25" s="369">
        <f>REPT('RB Lizene Nr.- Eingabe'!L57,1)</f>
      </c>
      <c r="AJ25" s="370"/>
      <c r="AK25" s="371"/>
      <c r="AL25" s="147"/>
      <c r="AM25" s="147"/>
      <c r="AN25" s="147"/>
      <c r="AO25" s="147"/>
      <c r="AP25" s="300"/>
      <c r="AQ25" s="301"/>
      <c r="AR25" s="301"/>
      <c r="AS25" s="301"/>
      <c r="AT25" s="302"/>
    </row>
    <row r="26" spans="3:46" ht="15" customHeight="1" thickBot="1">
      <c r="C26" s="173" t="str">
        <f>IF(ISNUMBER(AP26),VLOOKUP(AP26,'[1]Lizenzen'!$D$8:$K$2846,4,FALSE),"x")</f>
        <v>x</v>
      </c>
      <c r="D26" s="363"/>
      <c r="E26" s="364"/>
      <c r="F26" s="364"/>
      <c r="G26" s="364"/>
      <c r="H26" s="364"/>
      <c r="I26" s="364"/>
      <c r="J26" s="365"/>
      <c r="K26" s="346">
        <f>IF(ISNUMBER(AP26),VLOOKUP(AP26,'[1]Lizenzen'!$D$8:$K$2836,7,FALSE),"")</f>
      </c>
      <c r="L26" s="347"/>
      <c r="M26" s="347"/>
      <c r="N26" s="347"/>
      <c r="O26" s="347"/>
      <c r="P26" s="347"/>
      <c r="Q26" s="347"/>
      <c r="R26" s="347"/>
      <c r="S26" s="347"/>
      <c r="T26" s="311">
        <f>IF(ISNUMBER(AP26),VLOOKUP(AP26,'[1]Lizenzen'!D8:K2847,3,FALSE),"")</f>
      </c>
      <c r="U26" s="312"/>
      <c r="V26" s="312"/>
      <c r="W26" s="312"/>
      <c r="X26" s="313"/>
      <c r="Y26" s="358">
        <f>IF(ISNUMBER(AP26),VLOOKUP(AP26,'[1]Lizenzen'!D8:K2847,8,FALSE),"")</f>
      </c>
      <c r="Z26" s="358"/>
      <c r="AA26" s="358"/>
      <c r="AB26" s="358"/>
      <c r="AC26" s="366"/>
      <c r="AD26" s="367"/>
      <c r="AE26" s="368"/>
      <c r="AF26" s="360"/>
      <c r="AG26" s="349"/>
      <c r="AH26" s="351"/>
      <c r="AI26" s="372"/>
      <c r="AJ26" s="370"/>
      <c r="AK26" s="371"/>
      <c r="AL26" s="147"/>
      <c r="AM26" s="147"/>
      <c r="AN26" s="147"/>
      <c r="AO26" s="147"/>
      <c r="AP26" s="340"/>
      <c r="AQ26" s="341"/>
      <c r="AR26" s="341"/>
      <c r="AS26" s="341"/>
      <c r="AT26" s="342"/>
    </row>
    <row r="27" spans="3:46" ht="15" customHeight="1">
      <c r="C27" s="173">
        <f>IF(ISNUMBER(AP27),VLOOKUP(AP27,'[1]Lizenzen'!$D$8:$K$2848,4,FALSE),"")</f>
      </c>
      <c r="D27" s="327">
        <f>IF(C28="x",0,IF(C27=C28,C27,"Zugehörigkeit"))</f>
        <v>0</v>
      </c>
      <c r="E27" s="328"/>
      <c r="F27" s="328"/>
      <c r="G27" s="328"/>
      <c r="H27" s="328"/>
      <c r="I27" s="328"/>
      <c r="J27" s="329"/>
      <c r="K27" s="333">
        <f>IF(ISNUMBER(AP27),VLOOKUP(AP27,'[1]Lizenzen'!$D$8:$K$2836,7,FALSE),"")</f>
      </c>
      <c r="L27" s="334"/>
      <c r="M27" s="334"/>
      <c r="N27" s="334"/>
      <c r="O27" s="334"/>
      <c r="P27" s="334"/>
      <c r="Q27" s="334"/>
      <c r="R27" s="334"/>
      <c r="S27" s="334"/>
      <c r="T27" s="311">
        <f>IF(ISNUMBER(AP27),VLOOKUP(AP27,'[1]Lizenzen'!D8:K2848,3,FALSE),"")</f>
      </c>
      <c r="U27" s="312"/>
      <c r="V27" s="312"/>
      <c r="W27" s="312"/>
      <c r="X27" s="313"/>
      <c r="Y27" s="303">
        <f>IF(ISNUMBER(AP27),VLOOKUP(AP27,'[1]Lizenzen'!D8:K2848,8,FALSE),"")</f>
      </c>
      <c r="Z27" s="361"/>
      <c r="AA27" s="361"/>
      <c r="AB27" s="362"/>
      <c r="AC27" s="321">
        <f>REPT('RB Lizene Nr.- Eingabe'!AA58,1)</f>
      </c>
      <c r="AD27" s="322"/>
      <c r="AE27" s="323"/>
      <c r="AF27" s="359">
        <f>REPT('RB Lizene Nr.- Eingabe'!Y58,1)</f>
      </c>
      <c r="AG27" s="348" t="s">
        <v>14</v>
      </c>
      <c r="AH27" s="350">
        <f>REPT('RB Lizene Nr.- Eingabe'!Z58,1)</f>
      </c>
      <c r="AI27" s="304">
        <f>REPT('RB Lizene Nr.- Eingabe'!L58,1)</f>
      </c>
      <c r="AJ27" s="305"/>
      <c r="AK27" s="306"/>
      <c r="AL27" s="147"/>
      <c r="AM27" s="147"/>
      <c r="AN27" s="147"/>
      <c r="AO27" s="147"/>
      <c r="AP27" s="300"/>
      <c r="AQ27" s="301"/>
      <c r="AR27" s="301"/>
      <c r="AS27" s="301"/>
      <c r="AT27" s="302"/>
    </row>
    <row r="28" spans="3:46" ht="15" customHeight="1" thickBot="1">
      <c r="C28" s="173" t="str">
        <f>IF(ISNUMBER(AP28),VLOOKUP(AP28,'[1]Lizenzen'!$D$8:$K$2848,4,FALSE),"x")</f>
        <v>x</v>
      </c>
      <c r="D28" s="363"/>
      <c r="E28" s="364"/>
      <c r="F28" s="364"/>
      <c r="G28" s="364"/>
      <c r="H28" s="364"/>
      <c r="I28" s="364"/>
      <c r="J28" s="365"/>
      <c r="K28" s="346">
        <f>IF(ISNUMBER(AP28),VLOOKUP(AP28,'[1]Lizenzen'!$D$8:$K$2836,7,FALSE),"")</f>
      </c>
      <c r="L28" s="347"/>
      <c r="M28" s="347"/>
      <c r="N28" s="347"/>
      <c r="O28" s="347"/>
      <c r="P28" s="347"/>
      <c r="Q28" s="347"/>
      <c r="R28" s="347"/>
      <c r="S28" s="347"/>
      <c r="T28" s="311">
        <f>IF(ISNUMBER(AP28),VLOOKUP(AP28,'[1]Lizenzen'!D8:K2849,3,FALSE),"")</f>
      </c>
      <c r="U28" s="312"/>
      <c r="V28" s="312"/>
      <c r="W28" s="312"/>
      <c r="X28" s="313"/>
      <c r="Y28" s="358">
        <f>IF(ISNUMBER(AP28),VLOOKUP(AP28,'[1]Lizenzen'!D8:K2849,8,FALSE),"")</f>
      </c>
      <c r="Z28" s="358"/>
      <c r="AA28" s="358"/>
      <c r="AB28" s="358"/>
      <c r="AC28" s="366"/>
      <c r="AD28" s="367"/>
      <c r="AE28" s="368"/>
      <c r="AF28" s="360"/>
      <c r="AG28" s="349"/>
      <c r="AH28" s="351"/>
      <c r="AI28" s="352"/>
      <c r="AJ28" s="353"/>
      <c r="AK28" s="354"/>
      <c r="AL28" s="147"/>
      <c r="AM28" s="147"/>
      <c r="AN28" s="147"/>
      <c r="AO28" s="147"/>
      <c r="AP28" s="355"/>
      <c r="AQ28" s="356"/>
      <c r="AR28" s="356"/>
      <c r="AS28" s="356"/>
      <c r="AT28" s="357"/>
    </row>
    <row r="29" spans="3:46" ht="15" customHeight="1">
      <c r="C29" s="173">
        <f>IF(ISNUMBER(AP29),VLOOKUP(AP29,'[1]Lizenzen'!$D$8:$K$2850,4,FALSE),"")</f>
      </c>
      <c r="D29" s="327">
        <f>IF(C30="x",0,IF(C29=C30,C29,"Zugehörigkeit"))</f>
        <v>0</v>
      </c>
      <c r="E29" s="328"/>
      <c r="F29" s="328"/>
      <c r="G29" s="328"/>
      <c r="H29" s="328"/>
      <c r="I29" s="328"/>
      <c r="J29" s="329"/>
      <c r="K29" s="333">
        <f>IF(ISNUMBER(AP29),VLOOKUP(AP29,'[1]Lizenzen'!$D$8:$K$2836,7,FALSE),"")</f>
      </c>
      <c r="L29" s="334"/>
      <c r="M29" s="334"/>
      <c r="N29" s="334"/>
      <c r="O29" s="334"/>
      <c r="P29" s="334"/>
      <c r="Q29" s="334"/>
      <c r="R29" s="334"/>
      <c r="S29" s="334"/>
      <c r="T29" s="311">
        <f>IF(ISNUMBER(AP29),VLOOKUP(AP29,'[1]Lizenzen'!D8:K2850,3,FALSE),"")</f>
      </c>
      <c r="U29" s="312"/>
      <c r="V29" s="312"/>
      <c r="W29" s="312"/>
      <c r="X29" s="313"/>
      <c r="Y29" s="303">
        <f>IF(ISNUMBER(AP29),VLOOKUP(AP29,'[1]Lizenzen'!D8:K2850,8,FALSE),"")</f>
      </c>
      <c r="Z29" s="303"/>
      <c r="AA29" s="303"/>
      <c r="AB29" s="303"/>
      <c r="AC29" s="321">
        <f>REPT('RB Lizene Nr.- Eingabe'!AA59,1)</f>
      </c>
      <c r="AD29" s="322"/>
      <c r="AE29" s="323"/>
      <c r="AF29" s="320">
        <f>REPT('RB Lizene Nr.- Eingabe'!Y59,1)</f>
      </c>
      <c r="AG29" s="343" t="s">
        <v>14</v>
      </c>
      <c r="AH29" s="345">
        <f>REPT('RB Lizene Nr.- Eingabe'!Z59,1)</f>
      </c>
      <c r="AI29" s="304">
        <f>REPT('RB Lizene Nr.- Eingabe'!L59,1)</f>
      </c>
      <c r="AJ29" s="305"/>
      <c r="AK29" s="306"/>
      <c r="AL29" s="147"/>
      <c r="AM29" s="147"/>
      <c r="AN29" s="147"/>
      <c r="AO29" s="147"/>
      <c r="AP29" s="300"/>
      <c r="AQ29" s="301"/>
      <c r="AR29" s="301"/>
      <c r="AS29" s="301"/>
      <c r="AT29" s="302"/>
    </row>
    <row r="30" spans="3:46" ht="15" customHeight="1" thickBot="1">
      <c r="C30" s="173" t="str">
        <f>IF(ISNUMBER(AP30),VLOOKUP(AP30,'[1]Lizenzen'!$D$8:$K$2850,4,FALSE),"x")</f>
        <v>x</v>
      </c>
      <c r="D30" s="330"/>
      <c r="E30" s="331"/>
      <c r="F30" s="331"/>
      <c r="G30" s="331"/>
      <c r="H30" s="331"/>
      <c r="I30" s="331"/>
      <c r="J30" s="332"/>
      <c r="K30" s="335">
        <f>IF(ISNUMBER(AP30),VLOOKUP(AP30,'[1]Lizenzen'!$D$8:$K$2836,7,FALSE),"")</f>
      </c>
      <c r="L30" s="336"/>
      <c r="M30" s="336"/>
      <c r="N30" s="336"/>
      <c r="O30" s="336"/>
      <c r="P30" s="336"/>
      <c r="Q30" s="336"/>
      <c r="R30" s="336"/>
      <c r="S30" s="336"/>
      <c r="T30" s="314">
        <f>IF(ISNUMBER(AP30),VLOOKUP(AP30,'[1]Lizenzen'!D8:K2851,3,FALSE),"")</f>
      </c>
      <c r="U30" s="315"/>
      <c r="V30" s="315"/>
      <c r="W30" s="315"/>
      <c r="X30" s="316"/>
      <c r="Y30" s="319">
        <f>IF(ISNUMBER(AP30),VLOOKUP(AP30,'[1]Lizenzen'!D8:K2851,8,FALSE),"")</f>
      </c>
      <c r="Z30" s="319"/>
      <c r="AA30" s="319"/>
      <c r="AB30" s="319"/>
      <c r="AC30" s="324"/>
      <c r="AD30" s="325"/>
      <c r="AE30" s="326"/>
      <c r="AF30" s="320"/>
      <c r="AG30" s="344"/>
      <c r="AH30" s="345"/>
      <c r="AI30" s="307"/>
      <c r="AJ30" s="308"/>
      <c r="AK30" s="309"/>
      <c r="AL30" s="147"/>
      <c r="AM30" s="147"/>
      <c r="AN30" s="147"/>
      <c r="AO30" s="147"/>
      <c r="AP30" s="340"/>
      <c r="AQ30" s="341"/>
      <c r="AR30" s="341"/>
      <c r="AS30" s="341"/>
      <c r="AT30" s="342"/>
    </row>
    <row r="31" spans="4:40" ht="18.75" customHeight="1" thickBot="1">
      <c r="D31" s="175" t="s">
        <v>43</v>
      </c>
      <c r="E31" s="176"/>
      <c r="F31" s="176"/>
      <c r="G31" s="176"/>
      <c r="H31" s="176"/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317" t="s">
        <v>152</v>
      </c>
      <c r="AC31" s="318"/>
      <c r="AD31" s="318"/>
      <c r="AE31" s="318"/>
      <c r="AF31" s="318"/>
      <c r="AG31" s="318"/>
      <c r="AH31" s="179">
        <v>5</v>
      </c>
      <c r="AI31" s="310" t="s">
        <v>44</v>
      </c>
      <c r="AJ31" s="310"/>
      <c r="AK31" s="310"/>
      <c r="AL31" s="180"/>
      <c r="AM31" s="180"/>
      <c r="AN31" s="180"/>
    </row>
    <row r="32" spans="4:42" ht="18.75" customHeight="1">
      <c r="D32" s="337" t="s">
        <v>15</v>
      </c>
      <c r="E32" s="338"/>
      <c r="F32" s="339" t="str">
        <f>REPT('RB Lizene Nr.- Eingabe'!T4,1)</f>
        <v>RV Etelsen I</v>
      </c>
      <c r="G32" s="339"/>
      <c r="H32" s="339"/>
      <c r="I32" s="339"/>
      <c r="J32" s="339"/>
      <c r="K32" s="339" t="str">
        <f>REPT('RB Lizene Nr.- Eingabe'!V4,1)</f>
        <v>RV Etelsen II</v>
      </c>
      <c r="L32" s="339"/>
      <c r="M32" s="339"/>
      <c r="N32" s="339"/>
      <c r="O32" s="339"/>
      <c r="P32" s="286">
        <v>2</v>
      </c>
      <c r="Q32" s="286"/>
      <c r="R32" s="181" t="s">
        <v>14</v>
      </c>
      <c r="S32" s="282">
        <v>0</v>
      </c>
      <c r="T32" s="283"/>
      <c r="U32" s="288" t="s">
        <v>29</v>
      </c>
      <c r="V32" s="289"/>
      <c r="W32" s="295">
        <f>REPT('RB Lizene Nr.- Eingabe'!T18,1)</f>
      </c>
      <c r="X32" s="295"/>
      <c r="Y32" s="295"/>
      <c r="Z32" s="295"/>
      <c r="AA32" s="295"/>
      <c r="AB32" s="295">
        <f>REPT('RB Lizene Nr.- Eingabe'!V18,1)</f>
      </c>
      <c r="AC32" s="295"/>
      <c r="AD32" s="295"/>
      <c r="AE32" s="295"/>
      <c r="AF32" s="295"/>
      <c r="AG32" s="286"/>
      <c r="AH32" s="286"/>
      <c r="AI32" s="181" t="s">
        <v>14</v>
      </c>
      <c r="AJ32" s="282"/>
      <c r="AK32" s="283"/>
      <c r="AL32" s="182"/>
      <c r="AM32" s="182"/>
      <c r="AN32" s="182"/>
      <c r="AO32" s="182"/>
      <c r="AP32" s="180"/>
    </row>
    <row r="33" spans="4:42" ht="18.75" customHeight="1">
      <c r="D33" s="291" t="s">
        <v>16</v>
      </c>
      <c r="E33" s="292"/>
      <c r="F33" s="296" t="str">
        <f>REPT('RB Lizene Nr.- Eingabe'!T5,1)</f>
        <v>RVM Bilshausen I</v>
      </c>
      <c r="G33" s="296"/>
      <c r="H33" s="296"/>
      <c r="I33" s="296"/>
      <c r="J33" s="296"/>
      <c r="K33" s="296" t="str">
        <f>REPT('RB Lizene Nr.- Eingabe'!V5,1)</f>
        <v>RCG Hahndorf I</v>
      </c>
      <c r="L33" s="296"/>
      <c r="M33" s="296"/>
      <c r="N33" s="296"/>
      <c r="O33" s="296"/>
      <c r="P33" s="286">
        <v>5</v>
      </c>
      <c r="Q33" s="286"/>
      <c r="R33" s="183" t="s">
        <v>14</v>
      </c>
      <c r="S33" s="282">
        <v>0</v>
      </c>
      <c r="T33" s="283"/>
      <c r="U33" s="291" t="s">
        <v>30</v>
      </c>
      <c r="V33" s="292"/>
      <c r="W33" s="285">
        <f>REPT('RB Lizene Nr.- Eingabe'!T19,1)</f>
      </c>
      <c r="X33" s="285"/>
      <c r="Y33" s="285"/>
      <c r="Z33" s="285"/>
      <c r="AA33" s="285"/>
      <c r="AB33" s="285">
        <f>REPT('RB Lizene Nr.- Eingabe'!V19,1)</f>
      </c>
      <c r="AC33" s="285"/>
      <c r="AD33" s="285"/>
      <c r="AE33" s="285"/>
      <c r="AF33" s="285"/>
      <c r="AG33" s="286"/>
      <c r="AH33" s="286"/>
      <c r="AI33" s="183" t="s">
        <v>14</v>
      </c>
      <c r="AJ33" s="282"/>
      <c r="AK33" s="283"/>
      <c r="AL33" s="182"/>
      <c r="AM33" s="182"/>
      <c r="AN33" s="182"/>
      <c r="AO33" s="182"/>
      <c r="AP33" s="180"/>
    </row>
    <row r="34" spans="4:42" ht="18.75" customHeight="1">
      <c r="D34" s="291" t="s">
        <v>17</v>
      </c>
      <c r="E34" s="292"/>
      <c r="F34" s="296" t="str">
        <f>REPT('RB Lizene Nr.- Eingabe'!T6,1)</f>
        <v>RVS Obernfeld I</v>
      </c>
      <c r="G34" s="296"/>
      <c r="H34" s="296"/>
      <c r="I34" s="296"/>
      <c r="J34" s="296"/>
      <c r="K34" s="296" t="str">
        <f>REPT('RB Lizene Nr.- Eingabe'!V6,1)</f>
        <v>RV Etelsen II</v>
      </c>
      <c r="L34" s="296"/>
      <c r="M34" s="296"/>
      <c r="N34" s="296"/>
      <c r="O34" s="296"/>
      <c r="P34" s="286">
        <v>3</v>
      </c>
      <c r="Q34" s="286"/>
      <c r="R34" s="184" t="s">
        <v>14</v>
      </c>
      <c r="S34" s="282">
        <v>1</v>
      </c>
      <c r="T34" s="283"/>
      <c r="U34" s="291" t="s">
        <v>31</v>
      </c>
      <c r="V34" s="292"/>
      <c r="W34" s="285">
        <f>REPT('RB Lizene Nr.- Eingabe'!T20,1)</f>
      </c>
      <c r="X34" s="285"/>
      <c r="Y34" s="285"/>
      <c r="Z34" s="285"/>
      <c r="AA34" s="285"/>
      <c r="AB34" s="285">
        <f>REPT('RB Lizene Nr.- Eingabe'!V20,1)</f>
      </c>
      <c r="AC34" s="285"/>
      <c r="AD34" s="285"/>
      <c r="AE34" s="285"/>
      <c r="AF34" s="285"/>
      <c r="AG34" s="286"/>
      <c r="AH34" s="286"/>
      <c r="AI34" s="184" t="s">
        <v>14</v>
      </c>
      <c r="AJ34" s="282"/>
      <c r="AK34" s="283"/>
      <c r="AL34" s="182"/>
      <c r="AM34" s="182"/>
      <c r="AN34" s="182"/>
      <c r="AO34" s="182"/>
      <c r="AP34" s="180"/>
    </row>
    <row r="35" spans="4:42" ht="18.75" customHeight="1">
      <c r="D35" s="298" t="s">
        <v>18</v>
      </c>
      <c r="E35" s="299"/>
      <c r="F35" s="296" t="str">
        <f>REPT('RB Lizene Nr.- Eingabe'!T7,1)</f>
        <v>RV Etelsen I</v>
      </c>
      <c r="G35" s="296"/>
      <c r="H35" s="296"/>
      <c r="I35" s="296"/>
      <c r="J35" s="296"/>
      <c r="K35" s="296" t="str">
        <f>REPT('RB Lizene Nr.- Eingabe'!V7,1)</f>
        <v>RCG Hahndorf I</v>
      </c>
      <c r="L35" s="296"/>
      <c r="M35" s="296"/>
      <c r="N35" s="296"/>
      <c r="O35" s="296"/>
      <c r="P35" s="286">
        <v>5</v>
      </c>
      <c r="Q35" s="286"/>
      <c r="R35" s="185" t="s">
        <v>14</v>
      </c>
      <c r="S35" s="282">
        <v>0</v>
      </c>
      <c r="T35" s="283"/>
      <c r="U35" s="291" t="s">
        <v>32</v>
      </c>
      <c r="V35" s="292"/>
      <c r="W35" s="285">
        <f>REPT('RB Lizene Nr.- Eingabe'!T21,1)</f>
      </c>
      <c r="X35" s="285"/>
      <c r="Y35" s="285"/>
      <c r="Z35" s="285"/>
      <c r="AA35" s="285"/>
      <c r="AB35" s="285">
        <f>REPT('RB Lizene Nr.- Eingabe'!V21,1)</f>
      </c>
      <c r="AC35" s="285"/>
      <c r="AD35" s="285"/>
      <c r="AE35" s="285"/>
      <c r="AF35" s="285"/>
      <c r="AG35" s="286"/>
      <c r="AH35" s="286"/>
      <c r="AI35" s="185" t="s">
        <v>14</v>
      </c>
      <c r="AJ35" s="282"/>
      <c r="AK35" s="283"/>
      <c r="AL35" s="182"/>
      <c r="AM35" s="182"/>
      <c r="AN35" s="182"/>
      <c r="AO35" s="182"/>
      <c r="AP35" s="180"/>
    </row>
    <row r="36" spans="4:42" ht="18.75" customHeight="1">
      <c r="D36" s="291" t="s">
        <v>19</v>
      </c>
      <c r="E36" s="292"/>
      <c r="F36" s="296" t="str">
        <f>REPT('RB Lizene Nr.- Eingabe'!T8,1)</f>
        <v>RVM Bilshausen I</v>
      </c>
      <c r="G36" s="296"/>
      <c r="H36" s="296"/>
      <c r="I36" s="296"/>
      <c r="J36" s="296"/>
      <c r="K36" s="296" t="str">
        <f>REPT('RB Lizene Nr.- Eingabe'!V8,1)</f>
        <v>RVS Obernfeld I</v>
      </c>
      <c r="L36" s="296"/>
      <c r="M36" s="296"/>
      <c r="N36" s="296"/>
      <c r="O36" s="296"/>
      <c r="P36" s="286">
        <v>9</v>
      </c>
      <c r="Q36" s="286"/>
      <c r="R36" s="184" t="s">
        <v>14</v>
      </c>
      <c r="S36" s="282">
        <v>0</v>
      </c>
      <c r="T36" s="283"/>
      <c r="U36" s="291" t="s">
        <v>33</v>
      </c>
      <c r="V36" s="292"/>
      <c r="W36" s="285">
        <f>REPT('RB Lizene Nr.- Eingabe'!T22,1)</f>
      </c>
      <c r="X36" s="285"/>
      <c r="Y36" s="285"/>
      <c r="Z36" s="285"/>
      <c r="AA36" s="285"/>
      <c r="AB36" s="285">
        <f>REPT('RB Lizene Nr.- Eingabe'!V22,1)</f>
      </c>
      <c r="AC36" s="285"/>
      <c r="AD36" s="285"/>
      <c r="AE36" s="285"/>
      <c r="AF36" s="285"/>
      <c r="AG36" s="286"/>
      <c r="AH36" s="286"/>
      <c r="AI36" s="184" t="s">
        <v>14</v>
      </c>
      <c r="AJ36" s="282"/>
      <c r="AK36" s="283"/>
      <c r="AL36" s="182"/>
      <c r="AM36" s="182"/>
      <c r="AN36" s="182"/>
      <c r="AO36" s="182"/>
      <c r="AP36" s="180"/>
    </row>
    <row r="37" spans="4:42" ht="18.75" customHeight="1">
      <c r="D37" s="288" t="s">
        <v>20</v>
      </c>
      <c r="E37" s="289"/>
      <c r="F37" s="296" t="str">
        <f>REPT('RB Lizene Nr.- Eingabe'!T9,1)</f>
        <v>RCG Hahndorf I</v>
      </c>
      <c r="G37" s="296"/>
      <c r="H37" s="296"/>
      <c r="I37" s="296"/>
      <c r="J37" s="296"/>
      <c r="K37" s="296" t="str">
        <f>REPT('RB Lizene Nr.- Eingabe'!V9,1)</f>
        <v>RV Etelsen II</v>
      </c>
      <c r="L37" s="296"/>
      <c r="M37" s="296"/>
      <c r="N37" s="296"/>
      <c r="O37" s="296"/>
      <c r="P37" s="286">
        <v>0</v>
      </c>
      <c r="Q37" s="286"/>
      <c r="R37" s="185" t="s">
        <v>14</v>
      </c>
      <c r="S37" s="282">
        <v>5</v>
      </c>
      <c r="T37" s="283"/>
      <c r="U37" s="291" t="s">
        <v>34</v>
      </c>
      <c r="V37" s="292"/>
      <c r="W37" s="285">
        <f>REPT('RB Lizene Nr.- Eingabe'!T23,1)</f>
      </c>
      <c r="X37" s="285"/>
      <c r="Y37" s="285"/>
      <c r="Z37" s="285"/>
      <c r="AA37" s="285"/>
      <c r="AB37" s="285">
        <f>REPT('RB Lizene Nr.- Eingabe'!V23,1)</f>
      </c>
      <c r="AC37" s="285"/>
      <c r="AD37" s="285"/>
      <c r="AE37" s="285"/>
      <c r="AF37" s="285"/>
      <c r="AG37" s="286"/>
      <c r="AH37" s="286"/>
      <c r="AI37" s="185" t="s">
        <v>14</v>
      </c>
      <c r="AJ37" s="282"/>
      <c r="AK37" s="283"/>
      <c r="AL37" s="182"/>
      <c r="AM37" s="182"/>
      <c r="AN37" s="182"/>
      <c r="AO37" s="182"/>
      <c r="AP37" s="180"/>
    </row>
    <row r="38" spans="4:42" ht="18.75" customHeight="1">
      <c r="D38" s="291" t="s">
        <v>21</v>
      </c>
      <c r="E38" s="292"/>
      <c r="F38" s="296" t="str">
        <f>REPT('RB Lizene Nr.- Eingabe'!T10,1)</f>
        <v>RV Etelsen I</v>
      </c>
      <c r="G38" s="296"/>
      <c r="H38" s="296"/>
      <c r="I38" s="296"/>
      <c r="J38" s="296"/>
      <c r="K38" s="296" t="str">
        <f>REPT('RB Lizene Nr.- Eingabe'!V10,1)</f>
        <v>RVS Obernfeld I</v>
      </c>
      <c r="L38" s="296"/>
      <c r="M38" s="296"/>
      <c r="N38" s="296"/>
      <c r="O38" s="296"/>
      <c r="P38" s="286">
        <v>3</v>
      </c>
      <c r="Q38" s="286"/>
      <c r="R38" s="184" t="s">
        <v>14</v>
      </c>
      <c r="S38" s="282">
        <v>0</v>
      </c>
      <c r="T38" s="283"/>
      <c r="U38" s="291" t="s">
        <v>35</v>
      </c>
      <c r="V38" s="292"/>
      <c r="W38" s="285">
        <f>REPT('RB Lizene Nr.- Eingabe'!T24,1)</f>
      </c>
      <c r="X38" s="285"/>
      <c r="Y38" s="285"/>
      <c r="Z38" s="285"/>
      <c r="AA38" s="285"/>
      <c r="AB38" s="285">
        <f>REPT('RB Lizene Nr.- Eingabe'!V24,1)</f>
      </c>
      <c r="AC38" s="285"/>
      <c r="AD38" s="285"/>
      <c r="AE38" s="285"/>
      <c r="AF38" s="285"/>
      <c r="AG38" s="286"/>
      <c r="AH38" s="286"/>
      <c r="AI38" s="184" t="s">
        <v>14</v>
      </c>
      <c r="AJ38" s="282"/>
      <c r="AK38" s="283"/>
      <c r="AL38" s="182"/>
      <c r="AM38" s="182"/>
      <c r="AN38" s="182"/>
      <c r="AO38" s="182"/>
      <c r="AP38" s="180"/>
    </row>
    <row r="39" spans="4:42" ht="18.75" customHeight="1">
      <c r="D39" s="288" t="s">
        <v>22</v>
      </c>
      <c r="E39" s="289"/>
      <c r="F39" s="296" t="str">
        <f>REPT('RB Lizene Nr.- Eingabe'!T11,1)</f>
        <v>RVM Bilshausen I</v>
      </c>
      <c r="G39" s="296"/>
      <c r="H39" s="296"/>
      <c r="I39" s="296"/>
      <c r="J39" s="296"/>
      <c r="K39" s="296" t="str">
        <f>REPT('RB Lizene Nr.- Eingabe'!V11,1)</f>
        <v>RV Etelsen II</v>
      </c>
      <c r="L39" s="296"/>
      <c r="M39" s="296"/>
      <c r="N39" s="296"/>
      <c r="O39" s="296"/>
      <c r="P39" s="286">
        <v>11</v>
      </c>
      <c r="Q39" s="286"/>
      <c r="R39" s="185" t="s">
        <v>14</v>
      </c>
      <c r="S39" s="282">
        <v>0</v>
      </c>
      <c r="T39" s="283"/>
      <c r="U39" s="291" t="s">
        <v>36</v>
      </c>
      <c r="V39" s="292"/>
      <c r="W39" s="285">
        <f>REPT('RB Lizene Nr.- Eingabe'!T25,1)</f>
      </c>
      <c r="X39" s="285"/>
      <c r="Y39" s="285"/>
      <c r="Z39" s="285"/>
      <c r="AA39" s="285"/>
      <c r="AB39" s="285">
        <f>REPT('RB Lizene Nr.- Eingabe'!V25,1)</f>
      </c>
      <c r="AC39" s="285"/>
      <c r="AD39" s="285"/>
      <c r="AE39" s="285"/>
      <c r="AF39" s="285"/>
      <c r="AG39" s="286"/>
      <c r="AH39" s="286"/>
      <c r="AI39" s="185" t="s">
        <v>14</v>
      </c>
      <c r="AJ39" s="282"/>
      <c r="AK39" s="283"/>
      <c r="AL39" s="182"/>
      <c r="AM39" s="182"/>
      <c r="AN39" s="182"/>
      <c r="AO39" s="182"/>
      <c r="AP39" s="180"/>
    </row>
    <row r="40" spans="4:42" ht="18.75" customHeight="1">
      <c r="D40" s="291" t="s">
        <v>23</v>
      </c>
      <c r="E40" s="292"/>
      <c r="F40" s="293" t="str">
        <f>REPT('RB Lizene Nr.- Eingabe'!T12,1)</f>
        <v>RCG Hahndorf I</v>
      </c>
      <c r="G40" s="293"/>
      <c r="H40" s="293"/>
      <c r="I40" s="293"/>
      <c r="J40" s="293"/>
      <c r="K40" s="293" t="str">
        <f>REPT('RB Lizene Nr.- Eingabe'!V12,1)</f>
        <v>RVS Obernfeld I</v>
      </c>
      <c r="L40" s="293"/>
      <c r="M40" s="293"/>
      <c r="N40" s="293"/>
      <c r="O40" s="293"/>
      <c r="P40" s="286">
        <v>0</v>
      </c>
      <c r="Q40" s="286"/>
      <c r="R40" s="184" t="s">
        <v>14</v>
      </c>
      <c r="S40" s="282">
        <v>5</v>
      </c>
      <c r="T40" s="283"/>
      <c r="U40" s="297" t="s">
        <v>37</v>
      </c>
      <c r="V40" s="292"/>
      <c r="W40" s="285">
        <f>REPT('RB Lizene Nr.- Eingabe'!T26,1)</f>
      </c>
      <c r="X40" s="285"/>
      <c r="Y40" s="285"/>
      <c r="Z40" s="285"/>
      <c r="AA40" s="285"/>
      <c r="AB40" s="285">
        <f>REPT('RB Lizene Nr.- Eingabe'!V26,1)</f>
      </c>
      <c r="AC40" s="285"/>
      <c r="AD40" s="285"/>
      <c r="AE40" s="285"/>
      <c r="AF40" s="285"/>
      <c r="AG40" s="286"/>
      <c r="AH40" s="286"/>
      <c r="AI40" s="184" t="s">
        <v>14</v>
      </c>
      <c r="AJ40" s="282"/>
      <c r="AK40" s="283"/>
      <c r="AL40" s="182"/>
      <c r="AM40" s="182"/>
      <c r="AN40" s="182"/>
      <c r="AO40" s="182"/>
      <c r="AP40" s="180"/>
    </row>
    <row r="41" spans="4:42" ht="18.75" customHeight="1">
      <c r="D41" s="288" t="s">
        <v>24</v>
      </c>
      <c r="E41" s="289"/>
      <c r="F41" s="295" t="str">
        <f>REPT('RB Lizene Nr.- Eingabe'!T13,1)</f>
        <v>RV Etelsen I</v>
      </c>
      <c r="G41" s="295"/>
      <c r="H41" s="295"/>
      <c r="I41" s="295"/>
      <c r="J41" s="295"/>
      <c r="K41" s="294" t="str">
        <f>REPT('RB Lizene Nr.- Eingabe'!V13,1)</f>
        <v>RVM Bilshausen I</v>
      </c>
      <c r="L41" s="294"/>
      <c r="M41" s="294"/>
      <c r="N41" s="294"/>
      <c r="O41" s="294"/>
      <c r="P41" s="286">
        <v>0</v>
      </c>
      <c r="Q41" s="286"/>
      <c r="R41" s="185" t="s">
        <v>14</v>
      </c>
      <c r="S41" s="282">
        <v>10</v>
      </c>
      <c r="T41" s="283"/>
      <c r="U41" s="291" t="s">
        <v>38</v>
      </c>
      <c r="V41" s="292"/>
      <c r="W41" s="285">
        <f>REPT('RB Lizene Nr.- Eingabe'!T27,1)</f>
      </c>
      <c r="X41" s="285"/>
      <c r="Y41" s="285"/>
      <c r="Z41" s="285"/>
      <c r="AA41" s="285"/>
      <c r="AB41" s="285">
        <f>REPT('RB Lizene Nr.- Eingabe'!V27,1)</f>
      </c>
      <c r="AC41" s="285"/>
      <c r="AD41" s="285"/>
      <c r="AE41" s="285"/>
      <c r="AF41" s="285"/>
      <c r="AG41" s="286"/>
      <c r="AH41" s="286"/>
      <c r="AI41" s="185" t="s">
        <v>14</v>
      </c>
      <c r="AJ41" s="282"/>
      <c r="AK41" s="283"/>
      <c r="AL41" s="182"/>
      <c r="AM41" s="182"/>
      <c r="AN41" s="182"/>
      <c r="AO41" s="182"/>
      <c r="AP41" s="180"/>
    </row>
    <row r="42" spans="4:42" ht="18.75" customHeight="1">
      <c r="D42" s="291" t="s">
        <v>25</v>
      </c>
      <c r="E42" s="292"/>
      <c r="F42" s="290">
        <f>REPT('RB Lizene Nr.- Eingabe'!T14,1)</f>
      </c>
      <c r="G42" s="290"/>
      <c r="H42" s="290"/>
      <c r="I42" s="290"/>
      <c r="J42" s="290"/>
      <c r="K42" s="290">
        <f>REPT('RB Lizene Nr.- Eingabe'!V14,1)</f>
      </c>
      <c r="L42" s="290"/>
      <c r="M42" s="290"/>
      <c r="N42" s="290"/>
      <c r="O42" s="290"/>
      <c r="P42" s="286"/>
      <c r="Q42" s="286"/>
      <c r="R42" s="184" t="s">
        <v>14</v>
      </c>
      <c r="S42" s="282"/>
      <c r="T42" s="283"/>
      <c r="U42" s="291" t="s">
        <v>39</v>
      </c>
      <c r="V42" s="292"/>
      <c r="W42" s="285">
        <f>REPT('RB Lizene Nr.- Eingabe'!T28,1)</f>
      </c>
      <c r="X42" s="285"/>
      <c r="Y42" s="285"/>
      <c r="Z42" s="285"/>
      <c r="AA42" s="285"/>
      <c r="AB42" s="285">
        <f>REPT('RB Lizene Nr.- Eingabe'!V28,1)</f>
      </c>
      <c r="AC42" s="285"/>
      <c r="AD42" s="285"/>
      <c r="AE42" s="285"/>
      <c r="AF42" s="285"/>
      <c r="AG42" s="286"/>
      <c r="AH42" s="286"/>
      <c r="AI42" s="184" t="s">
        <v>14</v>
      </c>
      <c r="AJ42" s="282"/>
      <c r="AK42" s="283"/>
      <c r="AL42" s="182"/>
      <c r="AM42" s="182"/>
      <c r="AN42" s="182"/>
      <c r="AO42" s="182"/>
      <c r="AP42" s="180"/>
    </row>
    <row r="43" spans="4:42" ht="18.75" customHeight="1">
      <c r="D43" s="288" t="s">
        <v>26</v>
      </c>
      <c r="E43" s="289"/>
      <c r="F43" s="290">
        <f>REPT('RB Lizene Nr.- Eingabe'!T15,1)</f>
      </c>
      <c r="G43" s="290"/>
      <c r="H43" s="290"/>
      <c r="I43" s="290"/>
      <c r="J43" s="290"/>
      <c r="K43" s="290">
        <f>REPT('RB Lizene Nr.- Eingabe'!V15,1)</f>
      </c>
      <c r="L43" s="290"/>
      <c r="M43" s="290"/>
      <c r="N43" s="290"/>
      <c r="O43" s="290"/>
      <c r="P43" s="286"/>
      <c r="Q43" s="286"/>
      <c r="R43" s="185" t="s">
        <v>14</v>
      </c>
      <c r="S43" s="282"/>
      <c r="T43" s="283"/>
      <c r="U43" s="291" t="s">
        <v>40</v>
      </c>
      <c r="V43" s="292"/>
      <c r="W43" s="285">
        <f>REPT('RB Lizene Nr.- Eingabe'!T29,1)</f>
      </c>
      <c r="X43" s="285"/>
      <c r="Y43" s="285"/>
      <c r="Z43" s="285"/>
      <c r="AA43" s="285"/>
      <c r="AB43" s="285">
        <f>REPT('RB Lizene Nr.- Eingabe'!V29,1)</f>
      </c>
      <c r="AC43" s="285"/>
      <c r="AD43" s="285"/>
      <c r="AE43" s="285"/>
      <c r="AF43" s="285"/>
      <c r="AG43" s="286"/>
      <c r="AH43" s="286"/>
      <c r="AI43" s="185" t="s">
        <v>14</v>
      </c>
      <c r="AJ43" s="282"/>
      <c r="AK43" s="283"/>
      <c r="AL43" s="182"/>
      <c r="AM43" s="182"/>
      <c r="AN43" s="182"/>
      <c r="AO43" s="182"/>
      <c r="AP43" s="180"/>
    </row>
    <row r="44" spans="4:42" ht="18.75" customHeight="1">
      <c r="D44" s="291" t="s">
        <v>27</v>
      </c>
      <c r="E44" s="292"/>
      <c r="F44" s="290">
        <f>REPT('RB Lizene Nr.- Eingabe'!T16,1)</f>
      </c>
      <c r="G44" s="290"/>
      <c r="H44" s="290"/>
      <c r="I44" s="290"/>
      <c r="J44" s="290"/>
      <c r="K44" s="290">
        <f>REPT('RB Lizene Nr.- Eingabe'!V16,1)</f>
      </c>
      <c r="L44" s="290"/>
      <c r="M44" s="290"/>
      <c r="N44" s="290"/>
      <c r="O44" s="290"/>
      <c r="P44" s="286"/>
      <c r="Q44" s="286"/>
      <c r="R44" s="184" t="s">
        <v>14</v>
      </c>
      <c r="S44" s="282"/>
      <c r="T44" s="283"/>
      <c r="U44" s="291" t="s">
        <v>41</v>
      </c>
      <c r="V44" s="292"/>
      <c r="W44" s="285">
        <f>REPT('RB Lizene Nr.- Eingabe'!T30,1)</f>
      </c>
      <c r="X44" s="285"/>
      <c r="Y44" s="285"/>
      <c r="Z44" s="285"/>
      <c r="AA44" s="285"/>
      <c r="AB44" s="285">
        <f>REPT('RB Lizene Nr.- Eingabe'!V30,1)</f>
      </c>
      <c r="AC44" s="285"/>
      <c r="AD44" s="285"/>
      <c r="AE44" s="285"/>
      <c r="AF44" s="285"/>
      <c r="AG44" s="286"/>
      <c r="AH44" s="286"/>
      <c r="AI44" s="184" t="s">
        <v>14</v>
      </c>
      <c r="AJ44" s="282"/>
      <c r="AK44" s="283"/>
      <c r="AL44" s="182"/>
      <c r="AM44" s="182"/>
      <c r="AN44" s="182"/>
      <c r="AO44" s="182"/>
      <c r="AP44" s="180"/>
    </row>
    <row r="45" spans="4:42" ht="18.75" customHeight="1" thickBot="1">
      <c r="D45" s="279" t="s">
        <v>28</v>
      </c>
      <c r="E45" s="280"/>
      <c r="F45" s="287">
        <f>REPT('RB Lizene Nr.- Eingabe'!T17,1)</f>
      </c>
      <c r="G45" s="287"/>
      <c r="H45" s="287"/>
      <c r="I45" s="287"/>
      <c r="J45" s="287"/>
      <c r="K45" s="287">
        <f>REPT('RB Lizene Nr.- Eingabe'!V17,1)</f>
      </c>
      <c r="L45" s="287"/>
      <c r="M45" s="287"/>
      <c r="N45" s="287"/>
      <c r="O45" s="287"/>
      <c r="P45" s="275"/>
      <c r="Q45" s="275"/>
      <c r="R45" s="186" t="s">
        <v>14</v>
      </c>
      <c r="S45" s="276"/>
      <c r="T45" s="277"/>
      <c r="U45" s="279" t="s">
        <v>42</v>
      </c>
      <c r="V45" s="280"/>
      <c r="W45" s="281">
        <f>REPT('RB Lizene Nr.- Eingabe'!T31,1)</f>
      </c>
      <c r="X45" s="281"/>
      <c r="Y45" s="281"/>
      <c r="Z45" s="281"/>
      <c r="AA45" s="281"/>
      <c r="AB45" s="281">
        <f>REPT('RB Lizene Nr.- Eingabe'!V31,1)</f>
      </c>
      <c r="AC45" s="281"/>
      <c r="AD45" s="281"/>
      <c r="AE45" s="281"/>
      <c r="AF45" s="281"/>
      <c r="AG45" s="275"/>
      <c r="AH45" s="275"/>
      <c r="AI45" s="187" t="s">
        <v>14</v>
      </c>
      <c r="AJ45" s="276"/>
      <c r="AK45" s="277"/>
      <c r="AL45" s="182"/>
      <c r="AM45" s="182"/>
      <c r="AN45" s="182"/>
      <c r="AO45" s="182"/>
      <c r="AP45" s="180"/>
    </row>
    <row r="46" spans="4:42" ht="15">
      <c r="D46" s="163" t="s">
        <v>155</v>
      </c>
      <c r="E46" s="176"/>
      <c r="F46" s="176"/>
      <c r="G46" s="176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174"/>
      <c r="AM46" s="174"/>
      <c r="AN46" s="174"/>
      <c r="AO46" s="174"/>
      <c r="AP46" s="174"/>
    </row>
    <row r="47" spans="4:42" ht="15">
      <c r="D47" s="163" t="s">
        <v>154</v>
      </c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M47" s="174"/>
      <c r="AN47" s="174"/>
      <c r="AO47" s="174"/>
      <c r="AP47" s="174"/>
    </row>
    <row r="48" spans="4:42" ht="15">
      <c r="D48" s="188"/>
      <c r="J48" s="284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174"/>
      <c r="AM48" s="174"/>
      <c r="AN48" s="174"/>
      <c r="AO48" s="174"/>
      <c r="AP48" s="174"/>
    </row>
    <row r="49" spans="4:42" ht="14.25">
      <c r="D49" s="172" t="s">
        <v>13</v>
      </c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174"/>
      <c r="AM49" s="174"/>
      <c r="AN49" s="174"/>
      <c r="AO49" s="174"/>
      <c r="AP49" s="174"/>
    </row>
    <row r="50" spans="4:12" ht="12" customHeight="1">
      <c r="D50" s="188"/>
      <c r="L50" s="189" t="s">
        <v>48</v>
      </c>
    </row>
    <row r="51" spans="4:42" ht="16.5">
      <c r="D51" s="190" t="s">
        <v>161</v>
      </c>
      <c r="AL51" s="154"/>
      <c r="AM51" s="154"/>
      <c r="AN51" s="154"/>
      <c r="AO51" s="154"/>
      <c r="AP51" s="154"/>
    </row>
    <row r="52" spans="4:42" ht="18.75" customHeight="1">
      <c r="D52" s="188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6"/>
      <c r="Z52" s="196"/>
      <c r="AA52" s="196"/>
      <c r="AD52" s="274"/>
      <c r="AE52" s="274"/>
      <c r="AF52" s="274"/>
      <c r="AG52" s="274"/>
      <c r="AH52" s="274"/>
      <c r="AI52" s="274"/>
      <c r="AJ52" s="274"/>
      <c r="AK52" s="274"/>
      <c r="AL52" s="154"/>
      <c r="AM52" s="154"/>
      <c r="AN52" s="154"/>
      <c r="AO52" s="154"/>
      <c r="AP52" s="154"/>
    </row>
    <row r="53" spans="10:27" ht="18.75" customHeight="1"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V53" s="194"/>
      <c r="W53" s="194"/>
      <c r="X53" s="194"/>
      <c r="Y53" s="196"/>
      <c r="Z53" s="196"/>
      <c r="AA53" s="196"/>
    </row>
  </sheetData>
  <sheetProtection/>
  <mergeCells count="276">
    <mergeCell ref="AI17:AK18"/>
    <mergeCell ref="AP17:AT17"/>
    <mergeCell ref="AC17:AE18"/>
    <mergeCell ref="AP14:AT14"/>
    <mergeCell ref="AI14:AK14"/>
    <mergeCell ref="AP15:AT15"/>
    <mergeCell ref="AG15:AG16"/>
    <mergeCell ref="AH15:AH16"/>
    <mergeCell ref="AI15:AK16"/>
    <mergeCell ref="AP16:AT16"/>
    <mergeCell ref="K16:S16"/>
    <mergeCell ref="D14:J14"/>
    <mergeCell ref="K14:S14"/>
    <mergeCell ref="Y15:AB15"/>
    <mergeCell ref="Y16:AB16"/>
    <mergeCell ref="Y17:AB17"/>
    <mergeCell ref="D3:AC4"/>
    <mergeCell ref="AC14:AE14"/>
    <mergeCell ref="O6:AL6"/>
    <mergeCell ref="T15:X15"/>
    <mergeCell ref="T14:X14"/>
    <mergeCell ref="D15:J16"/>
    <mergeCell ref="K15:S15"/>
    <mergeCell ref="AC13:AE13"/>
    <mergeCell ref="T12:AB12"/>
    <mergeCell ref="AC12:AE12"/>
    <mergeCell ref="D8:S8"/>
    <mergeCell ref="D12:S12"/>
    <mergeCell ref="T16:X16"/>
    <mergeCell ref="AC15:AE16"/>
    <mergeCell ref="D17:J18"/>
    <mergeCell ref="K17:S17"/>
    <mergeCell ref="K18:S18"/>
    <mergeCell ref="T13:AB13"/>
    <mergeCell ref="Y14:AB14"/>
    <mergeCell ref="D13:S13"/>
    <mergeCell ref="Y20:AB20"/>
    <mergeCell ref="AC19:AE20"/>
    <mergeCell ref="Y19:AB19"/>
    <mergeCell ref="AF14:AH14"/>
    <mergeCell ref="T17:X17"/>
    <mergeCell ref="AH19:AH20"/>
    <mergeCell ref="AG17:AG18"/>
    <mergeCell ref="AH17:AH18"/>
    <mergeCell ref="AF15:AF16"/>
    <mergeCell ref="AI21:AK22"/>
    <mergeCell ref="AP18:AT18"/>
    <mergeCell ref="Y18:AB18"/>
    <mergeCell ref="AF17:AF18"/>
    <mergeCell ref="D19:J20"/>
    <mergeCell ref="K19:S19"/>
    <mergeCell ref="K20:S20"/>
    <mergeCell ref="AF19:AF20"/>
    <mergeCell ref="T19:X19"/>
    <mergeCell ref="T20:X20"/>
    <mergeCell ref="AI23:AK24"/>
    <mergeCell ref="AP24:AT24"/>
    <mergeCell ref="AP19:AT19"/>
    <mergeCell ref="AP20:AT20"/>
    <mergeCell ref="T18:X18"/>
    <mergeCell ref="AP22:AT22"/>
    <mergeCell ref="Y22:AB22"/>
    <mergeCell ref="AF21:AF22"/>
    <mergeCell ref="AI19:AK20"/>
    <mergeCell ref="AG19:AG20"/>
    <mergeCell ref="AP21:AT21"/>
    <mergeCell ref="Y21:AB21"/>
    <mergeCell ref="AG21:AG22"/>
    <mergeCell ref="AC21:AE22"/>
    <mergeCell ref="AP25:AT25"/>
    <mergeCell ref="AG25:AG26"/>
    <mergeCell ref="AH25:AH26"/>
    <mergeCell ref="AI25:AK26"/>
    <mergeCell ref="AP26:AT26"/>
    <mergeCell ref="AP23:AT23"/>
    <mergeCell ref="Y23:AB23"/>
    <mergeCell ref="T24:X24"/>
    <mergeCell ref="T23:X23"/>
    <mergeCell ref="AC23:AE24"/>
    <mergeCell ref="D21:J22"/>
    <mergeCell ref="K21:S21"/>
    <mergeCell ref="AG23:AG24"/>
    <mergeCell ref="AC25:AE26"/>
    <mergeCell ref="AF23:AF24"/>
    <mergeCell ref="AF25:AF26"/>
    <mergeCell ref="AH23:AH24"/>
    <mergeCell ref="K22:S22"/>
    <mergeCell ref="AH21:AH22"/>
    <mergeCell ref="T21:X21"/>
    <mergeCell ref="T22:X22"/>
    <mergeCell ref="Y24:AB24"/>
    <mergeCell ref="K25:S25"/>
    <mergeCell ref="K26:S26"/>
    <mergeCell ref="T26:X26"/>
    <mergeCell ref="D27:J28"/>
    <mergeCell ref="T27:X27"/>
    <mergeCell ref="Y25:AB25"/>
    <mergeCell ref="T25:X25"/>
    <mergeCell ref="Y26:AB26"/>
    <mergeCell ref="AP28:AT28"/>
    <mergeCell ref="Y28:AB28"/>
    <mergeCell ref="AF27:AF28"/>
    <mergeCell ref="Y27:AB27"/>
    <mergeCell ref="AP27:AT27"/>
    <mergeCell ref="D23:J24"/>
    <mergeCell ref="K23:S23"/>
    <mergeCell ref="K24:S24"/>
    <mergeCell ref="AC27:AE28"/>
    <mergeCell ref="D25:J26"/>
    <mergeCell ref="AG32:AH32"/>
    <mergeCell ref="AJ32:AK32"/>
    <mergeCell ref="AG29:AG30"/>
    <mergeCell ref="AH29:AH30"/>
    <mergeCell ref="T28:X28"/>
    <mergeCell ref="K28:S28"/>
    <mergeCell ref="AG27:AG28"/>
    <mergeCell ref="AH27:AH28"/>
    <mergeCell ref="K27:S27"/>
    <mergeCell ref="AI27:AK28"/>
    <mergeCell ref="P33:Q33"/>
    <mergeCell ref="D32:E32"/>
    <mergeCell ref="F32:J32"/>
    <mergeCell ref="K32:O32"/>
    <mergeCell ref="P32:Q32"/>
    <mergeCell ref="AP30:AT30"/>
    <mergeCell ref="S32:T32"/>
    <mergeCell ref="U32:V32"/>
    <mergeCell ref="W32:AA32"/>
    <mergeCell ref="AB32:AF32"/>
    <mergeCell ref="Y30:AB30"/>
    <mergeCell ref="AF29:AF30"/>
    <mergeCell ref="AC29:AE30"/>
    <mergeCell ref="S33:T33"/>
    <mergeCell ref="U33:V33"/>
    <mergeCell ref="D29:J30"/>
    <mergeCell ref="K29:S29"/>
    <mergeCell ref="K30:S30"/>
    <mergeCell ref="D33:E33"/>
    <mergeCell ref="F33:J33"/>
    <mergeCell ref="AP29:AT29"/>
    <mergeCell ref="Y29:AB29"/>
    <mergeCell ref="AG33:AH33"/>
    <mergeCell ref="AI29:AK30"/>
    <mergeCell ref="AI31:AK31"/>
    <mergeCell ref="T29:X29"/>
    <mergeCell ref="T30:X30"/>
    <mergeCell ref="W33:AA33"/>
    <mergeCell ref="AB33:AF33"/>
    <mergeCell ref="AB31:AG31"/>
    <mergeCell ref="D35:E35"/>
    <mergeCell ref="F35:J35"/>
    <mergeCell ref="W35:AA35"/>
    <mergeCell ref="AB35:AF35"/>
    <mergeCell ref="W34:AA34"/>
    <mergeCell ref="AB34:AF34"/>
    <mergeCell ref="AJ33:AK33"/>
    <mergeCell ref="D34:E34"/>
    <mergeCell ref="F34:J34"/>
    <mergeCell ref="K34:O34"/>
    <mergeCell ref="P34:Q34"/>
    <mergeCell ref="S34:T34"/>
    <mergeCell ref="U34:V34"/>
    <mergeCell ref="AG34:AH34"/>
    <mergeCell ref="AJ34:AK34"/>
    <mergeCell ref="K33:O33"/>
    <mergeCell ref="W38:AA38"/>
    <mergeCell ref="W37:AA37"/>
    <mergeCell ref="AJ35:AK35"/>
    <mergeCell ref="K35:O35"/>
    <mergeCell ref="P35:Q35"/>
    <mergeCell ref="S35:T35"/>
    <mergeCell ref="U35:V35"/>
    <mergeCell ref="AJ36:AK36"/>
    <mergeCell ref="AG35:AH35"/>
    <mergeCell ref="S36:T36"/>
    <mergeCell ref="U36:V36"/>
    <mergeCell ref="AG37:AH37"/>
    <mergeCell ref="W36:AA36"/>
    <mergeCell ref="AB36:AF36"/>
    <mergeCell ref="AG36:AH36"/>
    <mergeCell ref="S37:T37"/>
    <mergeCell ref="U37:V37"/>
    <mergeCell ref="AJ37:AK37"/>
    <mergeCell ref="AG38:AH38"/>
    <mergeCell ref="AJ38:AK38"/>
    <mergeCell ref="AB38:AF38"/>
    <mergeCell ref="AB37:AF37"/>
    <mergeCell ref="D36:E36"/>
    <mergeCell ref="F36:J36"/>
    <mergeCell ref="K36:O36"/>
    <mergeCell ref="P36:Q36"/>
    <mergeCell ref="F38:J38"/>
    <mergeCell ref="D38:E38"/>
    <mergeCell ref="K38:O38"/>
    <mergeCell ref="P38:Q38"/>
    <mergeCell ref="S38:T38"/>
    <mergeCell ref="U38:V38"/>
    <mergeCell ref="D37:E37"/>
    <mergeCell ref="F37:J37"/>
    <mergeCell ref="K37:O37"/>
    <mergeCell ref="P37:Q37"/>
    <mergeCell ref="AB41:AF41"/>
    <mergeCell ref="W40:AA40"/>
    <mergeCell ref="AB40:AF40"/>
    <mergeCell ref="W39:AA39"/>
    <mergeCell ref="AB39:AF39"/>
    <mergeCell ref="S40:T40"/>
    <mergeCell ref="U40:V40"/>
    <mergeCell ref="D41:E41"/>
    <mergeCell ref="F41:J41"/>
    <mergeCell ref="D40:E40"/>
    <mergeCell ref="F40:J40"/>
    <mergeCell ref="S39:T39"/>
    <mergeCell ref="U39:V39"/>
    <mergeCell ref="D39:E39"/>
    <mergeCell ref="F39:J39"/>
    <mergeCell ref="K39:O39"/>
    <mergeCell ref="P39:Q39"/>
    <mergeCell ref="K40:O40"/>
    <mergeCell ref="P40:Q40"/>
    <mergeCell ref="AG42:AH42"/>
    <mergeCell ref="AJ42:AK42"/>
    <mergeCell ref="AG41:AH41"/>
    <mergeCell ref="AJ41:AK41"/>
    <mergeCell ref="K41:O41"/>
    <mergeCell ref="P41:Q41"/>
    <mergeCell ref="S41:T41"/>
    <mergeCell ref="U41:V41"/>
    <mergeCell ref="AB42:AF42"/>
    <mergeCell ref="S42:T42"/>
    <mergeCell ref="U42:V42"/>
    <mergeCell ref="S43:T43"/>
    <mergeCell ref="U43:V43"/>
    <mergeCell ref="AJ39:AK39"/>
    <mergeCell ref="AG40:AH40"/>
    <mergeCell ref="AJ40:AK40"/>
    <mergeCell ref="AG39:AH39"/>
    <mergeCell ref="W41:AA41"/>
    <mergeCell ref="AJ43:AK43"/>
    <mergeCell ref="D44:E44"/>
    <mergeCell ref="F44:J44"/>
    <mergeCell ref="K44:O44"/>
    <mergeCell ref="P44:Q44"/>
    <mergeCell ref="S44:T44"/>
    <mergeCell ref="U44:V44"/>
    <mergeCell ref="AG44:AH44"/>
    <mergeCell ref="W43:AA43"/>
    <mergeCell ref="AB43:AF43"/>
    <mergeCell ref="F43:J43"/>
    <mergeCell ref="K43:O43"/>
    <mergeCell ref="P43:Q43"/>
    <mergeCell ref="W45:AA45"/>
    <mergeCell ref="D42:E42"/>
    <mergeCell ref="F42:J42"/>
    <mergeCell ref="K42:O42"/>
    <mergeCell ref="P42:Q42"/>
    <mergeCell ref="W42:AA42"/>
    <mergeCell ref="AJ44:AK44"/>
    <mergeCell ref="J48:AK48"/>
    <mergeCell ref="W44:AA44"/>
    <mergeCell ref="AB44:AF44"/>
    <mergeCell ref="AG43:AH43"/>
    <mergeCell ref="D45:E45"/>
    <mergeCell ref="F45:J45"/>
    <mergeCell ref="K45:O45"/>
    <mergeCell ref="P45:Q45"/>
    <mergeCell ref="D43:E43"/>
    <mergeCell ref="AD52:AK52"/>
    <mergeCell ref="AG45:AH45"/>
    <mergeCell ref="AJ45:AK45"/>
    <mergeCell ref="J46:AK46"/>
    <mergeCell ref="J47:AK47"/>
    <mergeCell ref="S45:T45"/>
    <mergeCell ref="U45:V45"/>
    <mergeCell ref="J49:AK49"/>
    <mergeCell ref="AB45:AF45"/>
  </mergeCells>
  <conditionalFormatting sqref="D29:J30">
    <cfRule type="expression" priority="7" dxfId="13" stopIfTrue="1">
      <formula>$D$29="Zugehörigkeit"</formula>
    </cfRule>
    <cfRule type="expression" priority="8" dxfId="0" stopIfTrue="1">
      <formula>$D$29=0</formula>
    </cfRule>
  </conditionalFormatting>
  <conditionalFormatting sqref="D27:J28">
    <cfRule type="expression" priority="9" dxfId="13" stopIfTrue="1">
      <formula>$D$27="Zugehörigkeit"</formula>
    </cfRule>
    <cfRule type="expression" priority="10" dxfId="0" stopIfTrue="1">
      <formula>$D$27=0</formula>
    </cfRule>
  </conditionalFormatting>
  <conditionalFormatting sqref="D25:J26">
    <cfRule type="expression" priority="11" dxfId="13" stopIfTrue="1">
      <formula>$D$25="Zugehörigkeit"</formula>
    </cfRule>
    <cfRule type="expression" priority="12" dxfId="0" stopIfTrue="1">
      <formula>$D$25=0</formula>
    </cfRule>
  </conditionalFormatting>
  <conditionalFormatting sqref="D23:J24">
    <cfRule type="expression" priority="13" dxfId="13" stopIfTrue="1">
      <formula>$D$23="Zugehörigkeit"</formula>
    </cfRule>
    <cfRule type="expression" priority="14" dxfId="0" stopIfTrue="1">
      <formula>$D$23=0</formula>
    </cfRule>
  </conditionalFormatting>
  <conditionalFormatting sqref="D21:J22">
    <cfRule type="expression" priority="15" dxfId="13" stopIfTrue="1">
      <formula>$D$21="Zugehörigkeit"</formula>
    </cfRule>
    <cfRule type="expression" priority="16" dxfId="0" stopIfTrue="1">
      <formula>$D$21=0</formula>
    </cfRule>
  </conditionalFormatting>
  <conditionalFormatting sqref="D19:J20">
    <cfRule type="expression" priority="17" dxfId="13" stopIfTrue="1">
      <formula>$D$19="Zugehörigkeit"</formula>
    </cfRule>
    <cfRule type="expression" priority="18" dxfId="0" stopIfTrue="1">
      <formula>$D$19=0</formula>
    </cfRule>
  </conditionalFormatting>
  <conditionalFormatting sqref="D17:J18">
    <cfRule type="expression" priority="19" dxfId="13" stopIfTrue="1">
      <formula>$D$17="Zugehörigkeit"</formula>
    </cfRule>
    <cfRule type="expression" priority="20" dxfId="0" stopIfTrue="1">
      <formula>$D$17=0</formula>
    </cfRule>
  </conditionalFormatting>
  <conditionalFormatting sqref="D15:J16">
    <cfRule type="expression" priority="21" dxfId="13" stopIfTrue="1">
      <formula>$D$15="Zugehörigkeit"</formula>
    </cfRule>
    <cfRule type="expression" priority="22" dxfId="0" stopIfTrue="1">
      <formula>$D$15=0</formula>
    </cfRule>
  </conditionalFormatting>
  <conditionalFormatting sqref="AP15:AP16">
    <cfRule type="expression" priority="23" dxfId="14" stopIfTrue="1">
      <formula>BH16=1</formula>
    </cfRule>
    <cfRule type="expression" priority="24" dxfId="13" stopIfTrue="1">
      <formula>BH16=0</formula>
    </cfRule>
  </conditionalFormatting>
  <conditionalFormatting sqref="AP17:AP18">
    <cfRule type="expression" priority="25" dxfId="14" stopIfTrue="1">
      <formula>BH19=1</formula>
    </cfRule>
    <cfRule type="expression" priority="26" dxfId="13" stopIfTrue="1">
      <formula>BH19=0</formula>
    </cfRule>
  </conditionalFormatting>
  <conditionalFormatting sqref="AP19:AP20">
    <cfRule type="expression" priority="27" dxfId="14" stopIfTrue="1">
      <formula>BH22=1</formula>
    </cfRule>
    <cfRule type="expression" priority="28" dxfId="13" stopIfTrue="1">
      <formula>BH22=0</formula>
    </cfRule>
  </conditionalFormatting>
  <conditionalFormatting sqref="AP25:AP26">
    <cfRule type="expression" priority="33" dxfId="14" stopIfTrue="1">
      <formula>BH31=1</formula>
    </cfRule>
    <cfRule type="expression" priority="34" dxfId="13" stopIfTrue="1">
      <formula>BH31=0</formula>
    </cfRule>
  </conditionalFormatting>
  <conditionalFormatting sqref="AP27:AP28">
    <cfRule type="expression" priority="35" dxfId="14" stopIfTrue="1">
      <formula>BH34=1</formula>
    </cfRule>
    <cfRule type="expression" priority="36" dxfId="13" stopIfTrue="1">
      <formula>BH34=0</formula>
    </cfRule>
  </conditionalFormatting>
  <conditionalFormatting sqref="AP29:AP30">
    <cfRule type="expression" priority="37" dxfId="14" stopIfTrue="1">
      <formula>BH37=1</formula>
    </cfRule>
    <cfRule type="expression" priority="38" dxfId="13" stopIfTrue="1">
      <formula>BH37=0</formula>
    </cfRule>
  </conditionalFormatting>
  <conditionalFormatting sqref="AP21">
    <cfRule type="expression" priority="5" dxfId="14" stopIfTrue="1">
      <formula>BH26=1</formula>
    </cfRule>
    <cfRule type="expression" priority="6" dxfId="13" stopIfTrue="1">
      <formula>BH26=0</formula>
    </cfRule>
  </conditionalFormatting>
  <conditionalFormatting sqref="AP22">
    <cfRule type="expression" priority="3" dxfId="14" stopIfTrue="1">
      <formula>BH27=1</formula>
    </cfRule>
    <cfRule type="expression" priority="4" dxfId="13" stopIfTrue="1">
      <formula>BH27=0</formula>
    </cfRule>
  </conditionalFormatting>
  <conditionalFormatting sqref="AP23:AP24">
    <cfRule type="expression" priority="1" dxfId="14" stopIfTrue="1">
      <formula>BH29=1</formula>
    </cfRule>
    <cfRule type="expression" priority="2" dxfId="13" stopIfTrue="1">
      <formula>BH29=0</formula>
    </cfRule>
  </conditionalFormatting>
  <printOptions horizontalCentered="1" verticalCentered="1"/>
  <pageMargins left="0.3937007874015748" right="0.1968503937007874" top="0.3937007874015748" bottom="0.1968503937007874" header="0" footer="0"/>
  <pageSetup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BO107"/>
  <sheetViews>
    <sheetView zoomScale="75" zoomScaleNormal="75" zoomScalePageLayoutView="0" workbookViewId="0" topLeftCell="A1">
      <selection activeCell="I62" sqref="I62"/>
    </sheetView>
  </sheetViews>
  <sheetFormatPr defaultColWidth="11.421875" defaultRowHeight="12.75"/>
  <cols>
    <col min="1" max="1" width="2.7109375" style="1" customWidth="1"/>
    <col min="2" max="55" width="2.8515625" style="1" customWidth="1"/>
    <col min="56" max="56" width="1.7109375" style="1" customWidth="1"/>
    <col min="57" max="60" width="2.8515625" style="1" customWidth="1"/>
    <col min="61" max="61" width="1.7109375" style="1" customWidth="1"/>
    <col min="62" max="65" width="2.8515625" style="1" customWidth="1"/>
    <col min="66" max="66" width="2.7109375" style="1" customWidth="1"/>
    <col min="67" max="16384" width="11.421875" style="1" customWidth="1"/>
  </cols>
  <sheetData>
    <row r="1" ht="12" customHeight="1" thickBot="1"/>
    <row r="2" spans="1:65" ht="10.5" customHeight="1" thickBot="1">
      <c r="A2" s="5"/>
      <c r="B2" s="540" t="s">
        <v>49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0" t="s">
        <v>50</v>
      </c>
      <c r="S2" s="541"/>
      <c r="T2" s="541"/>
      <c r="U2" s="541"/>
      <c r="V2" s="541"/>
      <c r="W2" s="541"/>
      <c r="X2" s="540" t="s">
        <v>51</v>
      </c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2"/>
      <c r="BE2" s="498" t="str">
        <f>C52</f>
        <v>RV Etelsen I</v>
      </c>
      <c r="BF2" s="499"/>
      <c r="BG2" s="499"/>
      <c r="BH2" s="500"/>
      <c r="BI2" s="17"/>
      <c r="BJ2" s="498" t="str">
        <f>C53</f>
        <v>RVM Bilshausen I</v>
      </c>
      <c r="BK2" s="499"/>
      <c r="BL2" s="499"/>
      <c r="BM2" s="500"/>
    </row>
    <row r="3" spans="1:65" ht="9.75" customHeight="1" thickBot="1">
      <c r="A3" s="3"/>
      <c r="B3" s="23">
        <v>3</v>
      </c>
      <c r="C3" s="24">
        <v>30</v>
      </c>
      <c r="D3" s="23">
        <v>4</v>
      </c>
      <c r="E3" s="24">
        <v>40</v>
      </c>
      <c r="F3" s="23">
        <v>5</v>
      </c>
      <c r="G3" s="25">
        <v>50</v>
      </c>
      <c r="H3" s="23">
        <v>6</v>
      </c>
      <c r="I3" s="24">
        <v>60</v>
      </c>
      <c r="J3" s="23">
        <v>7</v>
      </c>
      <c r="K3" s="24">
        <v>70</v>
      </c>
      <c r="L3" s="23">
        <v>8</v>
      </c>
      <c r="M3" s="24">
        <v>80</v>
      </c>
      <c r="N3" s="23">
        <v>9</v>
      </c>
      <c r="O3" s="24">
        <v>90</v>
      </c>
      <c r="P3" s="26">
        <v>10</v>
      </c>
      <c r="Q3" s="24">
        <v>100</v>
      </c>
      <c r="R3" s="533" t="s">
        <v>1</v>
      </c>
      <c r="S3" s="534"/>
      <c r="T3" s="533" t="s">
        <v>8</v>
      </c>
      <c r="U3" s="535"/>
      <c r="V3" s="535"/>
      <c r="W3" s="535"/>
      <c r="X3" s="501" t="s">
        <v>0</v>
      </c>
      <c r="Y3" s="505"/>
      <c r="AA3" s="536" t="str">
        <f>'Lizenz Nr.- Eingabe'!D15</f>
        <v>RV Etelsen I</v>
      </c>
      <c r="AB3" s="537"/>
      <c r="AD3" s="501" t="str">
        <f>'Lizenz Nr.- Eingabe'!D17</f>
        <v>RVM Bilshausen I</v>
      </c>
      <c r="AE3" s="505"/>
      <c r="AG3" s="536" t="str">
        <f>'Lizenz Nr.- Eingabe'!D19</f>
        <v>RCG Hahndorf I</v>
      </c>
      <c r="AH3" s="537"/>
      <c r="AJ3" s="501" t="str">
        <f>'Lizenz Nr.- Eingabe'!D21</f>
        <v>RVS Obernfeld I</v>
      </c>
      <c r="AK3" s="505"/>
      <c r="AM3" s="536" t="str">
        <f>'Lizenz Nr.- Eingabe'!D23</f>
        <v>RV Etelsen II</v>
      </c>
      <c r="AN3" s="537"/>
      <c r="AP3" s="501">
        <f>'Lizenz Nr.- Eingabe'!D25</f>
        <v>0</v>
      </c>
      <c r="AQ3" s="505"/>
      <c r="AS3" s="536">
        <f>'Lizenz Nr.- Eingabe'!D27</f>
        <v>0</v>
      </c>
      <c r="AT3" s="537"/>
      <c r="AV3" s="501">
        <f>'Lizenz Nr.- Eingabe'!D29</f>
        <v>0</v>
      </c>
      <c r="AW3" s="505"/>
      <c r="AX3" s="17"/>
      <c r="AY3" s="536">
        <f>C13</f>
        <v>0</v>
      </c>
      <c r="AZ3" s="537"/>
      <c r="BB3" s="501">
        <f>C13</f>
        <v>0</v>
      </c>
      <c r="BC3" s="505"/>
      <c r="BE3" s="27">
        <f>IF(Z48&gt;0,VLOOKUP(1,$Z$4:$AB$48,2,FALSE),"")</f>
        <v>2</v>
      </c>
      <c r="BF3" s="28">
        <f>IF(Z48&gt;0,VLOOKUP(1,$Z$4:$AB$48,3,FALSE),"")</f>
        <v>0</v>
      </c>
      <c r="BG3" s="27">
        <f>IF(ISNUMBER(BF3),IF(BE3=BF3,1,IF(BE3&gt;BF3,$BB$52,0)),"")</f>
        <v>3</v>
      </c>
      <c r="BH3" s="89">
        <f>IF(ISNUMBER(BF3),IF(BE3=BF3,1,IF(BE3&lt;BF3,$BB$52,0)),"")</f>
        <v>0</v>
      </c>
      <c r="BI3" s="17"/>
      <c r="BJ3" s="27">
        <f>IF(AC48&gt;0,VLOOKUP(1,AC4:AE48,2,FALSE),"")</f>
        <v>5</v>
      </c>
      <c r="BK3" s="28">
        <f>IF(AC48&gt;0,VLOOKUP(1,AC4:AE48,3,FALSE),"")</f>
        <v>0</v>
      </c>
      <c r="BL3" s="27">
        <f>IF(ISNUMBER(BK3),IF(BJ3=BK3,1,IF(BJ3&gt;BK3,$BB$52,0)),"")</f>
        <v>3</v>
      </c>
      <c r="BM3" s="89">
        <f>IF(ISNUMBER(BK3),IF(BJ3=BK3,1,IF(BJ3&lt;BK3,$BB$52,0)),"")</f>
        <v>0</v>
      </c>
    </row>
    <row r="4" spans="1:65" ht="9.75" customHeight="1">
      <c r="A4" s="3"/>
      <c r="B4" s="30">
        <v>1</v>
      </c>
      <c r="C4" s="31">
        <v>3</v>
      </c>
      <c r="D4" s="30">
        <v>1</v>
      </c>
      <c r="E4" s="31">
        <v>4</v>
      </c>
      <c r="F4" s="30">
        <v>1</v>
      </c>
      <c r="G4" s="31">
        <v>5</v>
      </c>
      <c r="H4" s="30">
        <v>1</v>
      </c>
      <c r="I4" s="31">
        <v>6</v>
      </c>
      <c r="J4" s="30">
        <v>1</v>
      </c>
      <c r="K4" s="31">
        <v>7</v>
      </c>
      <c r="L4" s="30">
        <v>1</v>
      </c>
      <c r="M4" s="31">
        <v>8</v>
      </c>
      <c r="N4" s="30">
        <v>5</v>
      </c>
      <c r="O4" s="31">
        <v>8</v>
      </c>
      <c r="P4" s="30">
        <v>3</v>
      </c>
      <c r="Q4" s="31">
        <v>5</v>
      </c>
      <c r="R4" s="32">
        <f>IF($AT$52&gt;2,HLOOKUP($AT$52,$B$3:$Q$48,2,FALSE),0)</f>
        <v>1</v>
      </c>
      <c r="S4" s="33">
        <f>IF($AT$52&gt;2,HLOOKUP($AT$57,$B$3:$Q$48,2,FALSE),0)</f>
        <v>5</v>
      </c>
      <c r="T4" s="543" t="str">
        <f>IF(R4&gt;0,VLOOKUP(R4,$B$52:$E$61,2,FALSE),"")</f>
        <v>RV Etelsen I</v>
      </c>
      <c r="U4" s="544"/>
      <c r="V4" s="545" t="str">
        <f>IF(S4&gt;0,VLOOKUP(S4,$B$52:$E$61,2,FALSE),"")</f>
        <v>RV Etelsen II</v>
      </c>
      <c r="W4" s="545"/>
      <c r="X4" s="34">
        <f>IF(ISNUMBER(Y4),'Lizenz Nr.- Eingabe'!P32,"")</f>
        <v>2</v>
      </c>
      <c r="Y4" s="35">
        <f>IF(OR('Lizenz Nr.- Eingabe'!S32="x",ISNUMBER('Lizenz Nr.- Eingabe'!S32)),'Lizenz Nr.- Eingabe'!S32,"")</f>
        <v>0</v>
      </c>
      <c r="Z4" s="6">
        <f>IF(ISNUMBER(AB4),1,0)</f>
        <v>1</v>
      </c>
      <c r="AA4" s="36">
        <f>IF(AND(Y4="x",OR($AA$3=T4,$AA$3=V4)),0,IF($AA$3=T4,X4,IF($AA$3=V4,Y4,"")))</f>
        <v>2</v>
      </c>
      <c r="AB4" s="37">
        <f aca="true" t="shared" si="0" ref="AB4:AB48">IF(AND(Y4="x",OR($AA$3=T4,$AA$3=V4)),5,IF($AA$3=T4,Y4,IF($AA$3=V4,X4,"")))</f>
        <v>0</v>
      </c>
      <c r="AC4" s="6">
        <f>IF(ISNUMBER(AE4),1,0)</f>
        <v>0</v>
      </c>
      <c r="AD4" s="38">
        <f aca="true" t="shared" si="1" ref="AD4:AD48">IF(AND(Y4="x",OR($AD$3=T4,$AD$3=V4)),0,IF($AD$3=T4,X4,IF($AD$3=V4,Y4,"")))</f>
      </c>
      <c r="AE4" s="39">
        <f aca="true" t="shared" si="2" ref="AE4:AE48">IF(AND(Y4="x",OR($AD$3=T4,$AD$3=V4)),5,IF($AD$3=T4,Y4,IF($AD$3=V4,X4,"")))</f>
      </c>
      <c r="AF4" s="6">
        <f>IF(ISNUMBER(AH4),1,0)</f>
        <v>0</v>
      </c>
      <c r="AG4" s="40">
        <f aca="true" t="shared" si="3" ref="AG4:AG48">IF(AND(Y4="x",OR($AG$3=T4,$AG$3=V4)),0,IF($AG$3=T4,X4,IF($AG$3=V4,Y4,"")))</f>
      </c>
      <c r="AH4" s="37">
        <f aca="true" t="shared" si="4" ref="AH4:AH48">IF(AND(Y4="x",OR($AG$3=T4,$AG$3=V4)),5,IF($AG$3=T4,Y4,IF($AG$3=V4,X4,"")))</f>
      </c>
      <c r="AI4" s="6">
        <f>IF(ISNUMBER(AK4),1,0)</f>
        <v>0</v>
      </c>
      <c r="AJ4" s="38">
        <f aca="true" t="shared" si="5" ref="AJ4:AJ48">IF(AND(Y4="x",OR($AJ$3=T4,$AJ$3=V4)),0,IF($AJ$3=T4,X4,IF($AJ$3=V4,Y4,"")))</f>
      </c>
      <c r="AK4" s="39">
        <f aca="true" t="shared" si="6" ref="AK4:AK48">IF(AND(Y4="x",OR($AJ$3=T4,$AJ$3=V4)),5,IF($AJ$3=T4,Y4,IF($AJ$3=V4,X4,"")))</f>
      </c>
      <c r="AL4" s="6">
        <f>IF(ISNUMBER(AN4),1,0)</f>
        <v>1</v>
      </c>
      <c r="AM4" s="40">
        <f aca="true" t="shared" si="7" ref="AM4:AM48">IF(AND(Y4="x",OR($AM$3=T4,$AM$3=V4)),0,IF($AM$3=T4,X4,IF($AM$3=V4,Y4,"")))</f>
        <v>0</v>
      </c>
      <c r="AN4" s="37">
        <f aca="true" t="shared" si="8" ref="AN4:AN48">IF(AND(Y4="x",OR($AM$3=T4,$AM$3=V4)),5,IF($AM$3=T4,Y4,IF($AM$3=V4,X4,"")))</f>
        <v>2</v>
      </c>
      <c r="AO4" s="6">
        <f>IF(ISNUMBER(AQ4),1,0)</f>
        <v>0</v>
      </c>
      <c r="AP4" s="38">
        <f aca="true" t="shared" si="9" ref="AP4:AP48">IF(AND(Y4="x",OR($AP$3=T4,$AP$3=V4)),0,IF($AP$3=T4,X4,IF($AP$3=V4,Y4,"")))</f>
      </c>
      <c r="AQ4" s="39">
        <f aca="true" t="shared" si="10" ref="AQ4:AQ48">IF(AND(Y4="x",OR($AP$3=T4,$AP$3=V4)),5,IF($AP$3=T4,Y4,IF($AP$3=V4,X4,"")))</f>
      </c>
      <c r="AR4" s="6">
        <f>IF(ISNUMBER(AT4),1,0)</f>
        <v>0</v>
      </c>
      <c r="AS4" s="40">
        <f aca="true" t="shared" si="11" ref="AS4:AS48">IF(AND(Y4="x",OR($AS$3=T4,$AS$3=V4)),0,IF($AS$3=T4,X4,IF($AS$3=V4,Y4,"")))</f>
      </c>
      <c r="AT4" s="37">
        <f aca="true" t="shared" si="12" ref="AT4:AT48">IF(AND(Y4="x",OR($AS$3=T4,$AS$3=V4)),5,IF($AS$3=T4,Y4,IF($AS$3=V4,X4,"")))</f>
      </c>
      <c r="AU4" s="6">
        <f>IF(ISNUMBER(AW4),1,0)</f>
        <v>0</v>
      </c>
      <c r="AV4" s="38">
        <f aca="true" t="shared" si="13" ref="AV4:AV48">IF(AND(Y4="x",OR($AV$3=T4,$AV$3=V4)),0,IF($AV$3=T4,X4,IF($AV$3=V4,Y4,"")))</f>
      </c>
      <c r="AW4" s="39">
        <f aca="true" t="shared" si="14" ref="AW4:AW48">IF(AND(Y4="x",OR($AV$3=T4,$AV$3=V4)),5,IF($AV$3=T4,Y4,IF($AV$3=V4,X4,"")))</f>
      </c>
      <c r="AX4" s="6">
        <f>IF(ISNUMBER(AZ4),1,0)</f>
        <v>0</v>
      </c>
      <c r="AY4" s="40">
        <f aca="true" t="shared" si="15" ref="AY4:AY48">IF(AND(Y4="x",OR($AY$3=T4,$AY$3=V4)),0,IF($AY$3=T4,X4,IF($AY$3=V4,Y4,"")))</f>
      </c>
      <c r="AZ4" s="37">
        <f aca="true" t="shared" si="16" ref="AZ4:AZ48">IF(AND(Y4="x",OR($AY$3=T4,$AY$3=V4)),5,IF($AY$3=T4,Y4,IF($AY$3=V4,X4,"")))</f>
      </c>
      <c r="BA4" s="6">
        <f>IF(ISNUMBER(BC4),1,0)</f>
        <v>0</v>
      </c>
      <c r="BB4" s="38">
        <f aca="true" t="shared" si="17" ref="BB4:BB48">IF(AND(Y4="x",OR($BB$3=T4,$BB$3=V4)),0,IF($BB$3=T4,X4,IF($BB$3=V4,Y4,"")))</f>
      </c>
      <c r="BC4" s="41">
        <f aca="true" t="shared" si="18" ref="BC4:BC48">IF(AND(Y4="x",OR($BB$3=T4,$BB$3=V4)),5,IF($BB$3=T4,Y4,IF($BB$3=V4,X4,"")))</f>
      </c>
      <c r="BE4" s="42">
        <f>IF(Z48&gt;1,VLOOKUP(2,$Z$4:$AB$48,2,FALSE),"")</f>
        <v>5</v>
      </c>
      <c r="BF4" s="43">
        <f>IF(Z48&gt;1,VLOOKUP(2,$Z$4:$AB$48,3,FALSE),"")</f>
        <v>0</v>
      </c>
      <c r="BG4" s="42">
        <f>IF(ISNUMBER(BF4),IF(BE4=BF4,1,IF(BE4&gt;BF4,$BB$52,0)),"")</f>
        <v>3</v>
      </c>
      <c r="BH4" s="62">
        <f>IF(ISNUMBER(BF4),IF(BE4=BF4,1,IF(BE4&lt;BF4,$BB$52,0)),"")</f>
        <v>0</v>
      </c>
      <c r="BI4" s="17"/>
      <c r="BJ4" s="42">
        <f>IF(AC48&gt;1,VLOOKUP(2,AC4:AE48,2,FALSE),"")</f>
        <v>9</v>
      </c>
      <c r="BK4" s="43">
        <f>IF(AC48&gt;1,VLOOKUP(2,AC4:AE48,3,FALSE),"")</f>
        <v>0</v>
      </c>
      <c r="BL4" s="42">
        <f>IF(ISNUMBER(BK4),IF(BJ4=BK4,1,IF(BJ4&gt;BK4,$BB$52,0)),"")</f>
        <v>3</v>
      </c>
      <c r="BM4" s="62">
        <f>IF(ISNUMBER(BK4),IF(BJ4=BK4,1,IF(BJ4&lt;BK4,$BB$52,0)),"")</f>
        <v>0</v>
      </c>
    </row>
    <row r="5" spans="1:65" ht="9.75" customHeight="1">
      <c r="A5" s="3"/>
      <c r="B5" s="44">
        <v>2</v>
      </c>
      <c r="C5" s="45">
        <v>3</v>
      </c>
      <c r="D5" s="44">
        <v>2</v>
      </c>
      <c r="E5" s="45">
        <v>3</v>
      </c>
      <c r="F5" s="44">
        <v>2</v>
      </c>
      <c r="G5" s="45">
        <v>3</v>
      </c>
      <c r="H5" s="44">
        <v>2</v>
      </c>
      <c r="I5" s="45">
        <v>4</v>
      </c>
      <c r="J5" s="44">
        <v>2</v>
      </c>
      <c r="K5" s="45">
        <v>6</v>
      </c>
      <c r="L5" s="44">
        <v>2</v>
      </c>
      <c r="M5" s="45">
        <v>7</v>
      </c>
      <c r="N5" s="44">
        <v>2</v>
      </c>
      <c r="O5" s="45">
        <v>7</v>
      </c>
      <c r="P5" s="44">
        <v>6</v>
      </c>
      <c r="Q5" s="46">
        <v>10</v>
      </c>
      <c r="R5" s="47">
        <f>IF($AT$52&gt;2,HLOOKUP($AT$52,$B$3:$Q$48,3,FALSE),0)</f>
        <v>2</v>
      </c>
      <c r="S5" s="48">
        <f>IF($AT$52&gt;2,HLOOKUP($AT$57,$B$3:$Q$48,3,FALSE),0)</f>
        <v>3</v>
      </c>
      <c r="T5" s="525" t="str">
        <f aca="true" t="shared" si="19" ref="T5:T48">IF(R5&gt;0,VLOOKUP(R5,$B$52:$E$61,2,FALSE),"")</f>
        <v>RVM Bilshausen I</v>
      </c>
      <c r="U5" s="526"/>
      <c r="V5" s="527" t="str">
        <f aca="true" t="shared" si="20" ref="V5:V48">IF(S5&gt;0,VLOOKUP(S5,$B$52:$E$61,2,FALSE),"")</f>
        <v>RCG Hahndorf I</v>
      </c>
      <c r="W5" s="527"/>
      <c r="X5" s="34">
        <f>IF(ISNUMBER(Y5),'Lizenz Nr.- Eingabe'!P33,"")</f>
        <v>5</v>
      </c>
      <c r="Y5" s="35">
        <f>IF(OR('Lizenz Nr.- Eingabe'!S33="x",ISNUMBER('Lizenz Nr.- Eingabe'!S33)),'Lizenz Nr.- Eingabe'!S33,"")</f>
        <v>0</v>
      </c>
      <c r="Z5" s="6">
        <f aca="true" t="shared" si="21" ref="Z5:Z48">IF(ISNUMBER(AB5),Z4+1,Z4)</f>
        <v>1</v>
      </c>
      <c r="AA5" s="49">
        <f aca="true" t="shared" si="22" ref="AA5:AA48">IF(AND(Y5="x",OR($AA$3=T5,$AA$3=V5)),0,IF($AA$3=T5,X5,IF($AA$3=V5,Y5,"")))</f>
      </c>
      <c r="AB5" s="50">
        <f t="shared" si="0"/>
      </c>
      <c r="AC5" s="6">
        <f>IF(ISNUMBER(AE5),AC4+1,AC4)</f>
        <v>1</v>
      </c>
      <c r="AD5" s="51">
        <f t="shared" si="1"/>
        <v>5</v>
      </c>
      <c r="AE5" s="52">
        <f t="shared" si="2"/>
        <v>0</v>
      </c>
      <c r="AF5" s="6">
        <f aca="true" t="shared" si="23" ref="AF5:AF48">IF(ISNUMBER(AH5),AF4+1,AF4)</f>
        <v>1</v>
      </c>
      <c r="AG5" s="49">
        <f t="shared" si="3"/>
        <v>0</v>
      </c>
      <c r="AH5" s="50">
        <f t="shared" si="4"/>
        <v>5</v>
      </c>
      <c r="AI5" s="6">
        <f aca="true" t="shared" si="24" ref="AI5:AI48">IF(ISNUMBER(AK5),AI4+1,AI4)</f>
        <v>0</v>
      </c>
      <c r="AJ5" s="51">
        <f t="shared" si="5"/>
      </c>
      <c r="AK5" s="52">
        <f t="shared" si="6"/>
      </c>
      <c r="AL5" s="6">
        <f aca="true" t="shared" si="25" ref="AL5:AL48">IF(ISNUMBER(AN5),AL4+1,AL4)</f>
        <v>1</v>
      </c>
      <c r="AM5" s="49">
        <f t="shared" si="7"/>
      </c>
      <c r="AN5" s="50">
        <f t="shared" si="8"/>
      </c>
      <c r="AO5" s="6">
        <f aca="true" t="shared" si="26" ref="AO5:AO48">IF(ISNUMBER(AQ5),AO4+1,AO4)</f>
        <v>0</v>
      </c>
      <c r="AP5" s="51">
        <f t="shared" si="9"/>
      </c>
      <c r="AQ5" s="52">
        <f t="shared" si="10"/>
      </c>
      <c r="AR5" s="6">
        <f aca="true" t="shared" si="27" ref="AR5:AR48">IF(ISNUMBER(AT5),AR4+1,AR4)</f>
        <v>0</v>
      </c>
      <c r="AS5" s="49">
        <f t="shared" si="11"/>
      </c>
      <c r="AT5" s="50">
        <f t="shared" si="12"/>
      </c>
      <c r="AU5" s="6">
        <f aca="true" t="shared" si="28" ref="AU5:AU48">IF(ISNUMBER(AW5),AU4+1,AU4)</f>
        <v>0</v>
      </c>
      <c r="AV5" s="51">
        <f t="shared" si="13"/>
      </c>
      <c r="AW5" s="52">
        <f t="shared" si="14"/>
      </c>
      <c r="AX5" s="6">
        <f aca="true" t="shared" si="29" ref="AX5:AX48">IF(ISNUMBER(AZ5),AX4+1,AX4)</f>
        <v>0</v>
      </c>
      <c r="AY5" s="49">
        <f t="shared" si="15"/>
      </c>
      <c r="AZ5" s="50">
        <f t="shared" si="16"/>
      </c>
      <c r="BA5" s="6">
        <f aca="true" t="shared" si="30" ref="BA5:BA48">IF(ISNUMBER(BC5),BA4+1,BA4)</f>
        <v>0</v>
      </c>
      <c r="BB5" s="51">
        <f t="shared" si="17"/>
      </c>
      <c r="BC5" s="53">
        <f t="shared" si="18"/>
      </c>
      <c r="BE5" s="42">
        <f>IF(Z48&gt;2,VLOOKUP(3,$Z$4:$AB$48,2,FALSE),"")</f>
        <v>3</v>
      </c>
      <c r="BF5" s="43">
        <f>IF(Z48&gt;2,VLOOKUP(3,$Z$4:$AB$48,3,FALSE),"")</f>
        <v>0</v>
      </c>
      <c r="BG5" s="42">
        <f aca="true" t="shared" si="31" ref="BG5:BG11">IF(ISNUMBER(BF5),IF(BE5=BF5,1,IF(BE5&gt;BF5,$BB$52,0)),"")</f>
        <v>3</v>
      </c>
      <c r="BH5" s="62">
        <f aca="true" t="shared" si="32" ref="BH5:BH10">IF(ISNUMBER(BF5),IF(BE5=BF5,1,IF(BE5&lt;BF5,$BB$52,0)),"")</f>
        <v>0</v>
      </c>
      <c r="BI5" s="17"/>
      <c r="BJ5" s="42">
        <f>IF(AC48&gt;2,VLOOKUP(3,AC4:AE48,2,FALSE),"")</f>
        <v>11</v>
      </c>
      <c r="BK5" s="43">
        <f>IF(AC48&gt;2,VLOOKUP(3,AC4:AE48,3,FALSE),"")</f>
        <v>0</v>
      </c>
      <c r="BL5" s="42">
        <f aca="true" t="shared" si="33" ref="BL5:BL10">IF(ISNUMBER(BK5),IF(BJ5=BK5,1,IF(BJ5&gt;BK5,$BB$52,0)),"")</f>
        <v>3</v>
      </c>
      <c r="BM5" s="62">
        <f aca="true" t="shared" si="34" ref="BM5:BM11">IF(ISNUMBER(BK5),IF(BJ5=BK5,1,IF(BJ5&lt;BK5,$BB$52,0)),"")</f>
        <v>0</v>
      </c>
    </row>
    <row r="6" spans="1:65" ht="9.75" customHeight="1" thickBot="1">
      <c r="A6" s="3"/>
      <c r="B6" s="54">
        <v>1</v>
      </c>
      <c r="C6" s="55">
        <v>2</v>
      </c>
      <c r="D6" s="44">
        <v>1</v>
      </c>
      <c r="E6" s="45">
        <v>3</v>
      </c>
      <c r="F6" s="44">
        <v>4</v>
      </c>
      <c r="G6" s="45">
        <v>5</v>
      </c>
      <c r="H6" s="44">
        <v>3</v>
      </c>
      <c r="I6" s="45">
        <v>5</v>
      </c>
      <c r="J6" s="44">
        <v>3</v>
      </c>
      <c r="K6" s="45">
        <v>5</v>
      </c>
      <c r="L6" s="44">
        <v>3</v>
      </c>
      <c r="M6" s="45">
        <v>6</v>
      </c>
      <c r="N6" s="44">
        <v>3</v>
      </c>
      <c r="O6" s="45">
        <v>9</v>
      </c>
      <c r="P6" s="44">
        <v>1</v>
      </c>
      <c r="Q6" s="45">
        <v>8</v>
      </c>
      <c r="R6" s="47">
        <f>IF($AT$52&gt;2,HLOOKUP($AT$52,$B$3:$Q$48,4,FALSE),0)</f>
        <v>4</v>
      </c>
      <c r="S6" s="48">
        <f>IF($AT$52&gt;2,HLOOKUP($AT$57,$B$3:$Q$48,4,FALSE),0)</f>
        <v>5</v>
      </c>
      <c r="T6" s="525" t="str">
        <f t="shared" si="19"/>
        <v>RVS Obernfeld I</v>
      </c>
      <c r="U6" s="526"/>
      <c r="V6" s="527" t="str">
        <f t="shared" si="20"/>
        <v>RV Etelsen II</v>
      </c>
      <c r="W6" s="527"/>
      <c r="X6" s="34">
        <f>IF(ISNUMBER(Y6),'Lizenz Nr.- Eingabe'!P34,"")</f>
        <v>3</v>
      </c>
      <c r="Y6" s="35">
        <f>IF(OR('Lizenz Nr.- Eingabe'!S34="x",ISNUMBER('Lizenz Nr.- Eingabe'!S34)),'Lizenz Nr.- Eingabe'!S34,"")</f>
        <v>1</v>
      </c>
      <c r="Z6" s="6">
        <f t="shared" si="21"/>
        <v>1</v>
      </c>
      <c r="AA6" s="49">
        <f t="shared" si="22"/>
      </c>
      <c r="AB6" s="50">
        <f t="shared" si="0"/>
      </c>
      <c r="AC6" s="6">
        <f aca="true" t="shared" si="35" ref="AC6:AC48">IF(ISNUMBER(AE6),AC5+1,AC5)</f>
        <v>1</v>
      </c>
      <c r="AD6" s="51">
        <f t="shared" si="1"/>
      </c>
      <c r="AE6" s="52">
        <f t="shared" si="2"/>
      </c>
      <c r="AF6" s="6">
        <f t="shared" si="23"/>
        <v>1</v>
      </c>
      <c r="AG6" s="49">
        <f t="shared" si="3"/>
      </c>
      <c r="AH6" s="50">
        <f t="shared" si="4"/>
      </c>
      <c r="AI6" s="6">
        <f t="shared" si="24"/>
        <v>1</v>
      </c>
      <c r="AJ6" s="51">
        <f t="shared" si="5"/>
        <v>3</v>
      </c>
      <c r="AK6" s="52">
        <f t="shared" si="6"/>
        <v>1</v>
      </c>
      <c r="AL6" s="6">
        <f t="shared" si="25"/>
        <v>2</v>
      </c>
      <c r="AM6" s="49">
        <f t="shared" si="7"/>
        <v>1</v>
      </c>
      <c r="AN6" s="50">
        <f t="shared" si="8"/>
        <v>3</v>
      </c>
      <c r="AO6" s="6">
        <f t="shared" si="26"/>
        <v>0</v>
      </c>
      <c r="AP6" s="51">
        <f t="shared" si="9"/>
      </c>
      <c r="AQ6" s="52">
        <f t="shared" si="10"/>
      </c>
      <c r="AR6" s="6">
        <f t="shared" si="27"/>
        <v>0</v>
      </c>
      <c r="AS6" s="49">
        <f t="shared" si="11"/>
      </c>
      <c r="AT6" s="50">
        <f t="shared" si="12"/>
      </c>
      <c r="AU6" s="6">
        <f t="shared" si="28"/>
        <v>0</v>
      </c>
      <c r="AV6" s="51">
        <f t="shared" si="13"/>
      </c>
      <c r="AW6" s="52">
        <f t="shared" si="14"/>
      </c>
      <c r="AX6" s="6">
        <f t="shared" si="29"/>
        <v>0</v>
      </c>
      <c r="AY6" s="49">
        <f t="shared" si="15"/>
      </c>
      <c r="AZ6" s="50">
        <f t="shared" si="16"/>
      </c>
      <c r="BA6" s="6">
        <f t="shared" si="30"/>
        <v>0</v>
      </c>
      <c r="BB6" s="51">
        <f t="shared" si="17"/>
      </c>
      <c r="BC6" s="53">
        <f t="shared" si="18"/>
      </c>
      <c r="BE6" s="42">
        <f>IF(Z48&gt;3,VLOOKUP(4,$Z$4:$AB$48,2,FALSE),"")</f>
        <v>0</v>
      </c>
      <c r="BF6" s="43">
        <f>IF(Z48&gt;3,VLOOKUP(4,$Z$4:$AB$48,3,FALSE),"")</f>
        <v>10</v>
      </c>
      <c r="BG6" s="42">
        <f t="shared" si="31"/>
        <v>0</v>
      </c>
      <c r="BH6" s="62">
        <f t="shared" si="32"/>
        <v>3</v>
      </c>
      <c r="BI6" s="17"/>
      <c r="BJ6" s="42">
        <f>IF(AC48&gt;3,VLOOKUP(4,AC4:AE48,2,FALSE),"")</f>
        <v>10</v>
      </c>
      <c r="BK6" s="43">
        <f>IF(AC48&gt;3,VLOOKUP(4,AC4:AE48,3,FALSE),"")</f>
        <v>0</v>
      </c>
      <c r="BL6" s="42">
        <f t="shared" si="33"/>
        <v>3</v>
      </c>
      <c r="BM6" s="62">
        <f t="shared" si="34"/>
        <v>0</v>
      </c>
    </row>
    <row r="7" spans="1:65" ht="9.75" customHeight="1">
      <c r="A7" s="3"/>
      <c r="B7" s="56"/>
      <c r="C7" s="56"/>
      <c r="D7" s="44">
        <v>2</v>
      </c>
      <c r="E7" s="45">
        <v>4</v>
      </c>
      <c r="F7" s="44">
        <v>1</v>
      </c>
      <c r="G7" s="45">
        <v>3</v>
      </c>
      <c r="H7" s="44">
        <v>1</v>
      </c>
      <c r="I7" s="45">
        <v>4</v>
      </c>
      <c r="J7" s="44">
        <v>4</v>
      </c>
      <c r="K7" s="45">
        <v>7</v>
      </c>
      <c r="L7" s="44">
        <v>4</v>
      </c>
      <c r="M7" s="45">
        <v>5</v>
      </c>
      <c r="N7" s="44">
        <v>1</v>
      </c>
      <c r="O7" s="45">
        <v>6</v>
      </c>
      <c r="P7" s="44">
        <v>2</v>
      </c>
      <c r="Q7" s="45">
        <v>7</v>
      </c>
      <c r="R7" s="47">
        <f>IF($AT$52&gt;2,HLOOKUP($AT$52,$B$3:$Q$48,5,FALSE),0)</f>
        <v>1</v>
      </c>
      <c r="S7" s="48">
        <f>IF($AT$52&gt;2,HLOOKUP($AT$57,$B$3:$Q$48,5,FALSE),0)</f>
        <v>3</v>
      </c>
      <c r="T7" s="525" t="str">
        <f t="shared" si="19"/>
        <v>RV Etelsen I</v>
      </c>
      <c r="U7" s="526"/>
      <c r="V7" s="527" t="str">
        <f t="shared" si="20"/>
        <v>RCG Hahndorf I</v>
      </c>
      <c r="W7" s="527"/>
      <c r="X7" s="34">
        <f>IF(ISNUMBER(Y7),'Lizenz Nr.- Eingabe'!P35,"")</f>
        <v>5</v>
      </c>
      <c r="Y7" s="35">
        <f>IF(OR('Lizenz Nr.- Eingabe'!S35="x",ISNUMBER('Lizenz Nr.- Eingabe'!S35)),'Lizenz Nr.- Eingabe'!S35,"")</f>
        <v>0</v>
      </c>
      <c r="Z7" s="6">
        <f t="shared" si="21"/>
        <v>2</v>
      </c>
      <c r="AA7" s="49">
        <f t="shared" si="22"/>
        <v>5</v>
      </c>
      <c r="AB7" s="50">
        <f t="shared" si="0"/>
        <v>0</v>
      </c>
      <c r="AC7" s="6">
        <f t="shared" si="35"/>
        <v>1</v>
      </c>
      <c r="AD7" s="51">
        <f t="shared" si="1"/>
      </c>
      <c r="AE7" s="52">
        <f t="shared" si="2"/>
      </c>
      <c r="AF7" s="6">
        <f t="shared" si="23"/>
        <v>2</v>
      </c>
      <c r="AG7" s="49">
        <f t="shared" si="3"/>
        <v>0</v>
      </c>
      <c r="AH7" s="50">
        <f t="shared" si="4"/>
        <v>5</v>
      </c>
      <c r="AI7" s="6">
        <f t="shared" si="24"/>
        <v>1</v>
      </c>
      <c r="AJ7" s="51">
        <f t="shared" si="5"/>
      </c>
      <c r="AK7" s="52">
        <f t="shared" si="6"/>
      </c>
      <c r="AL7" s="6">
        <f t="shared" si="25"/>
        <v>2</v>
      </c>
      <c r="AM7" s="49">
        <f t="shared" si="7"/>
      </c>
      <c r="AN7" s="50">
        <f t="shared" si="8"/>
      </c>
      <c r="AO7" s="6">
        <f t="shared" si="26"/>
        <v>0</v>
      </c>
      <c r="AP7" s="51">
        <f t="shared" si="9"/>
      </c>
      <c r="AQ7" s="52">
        <f t="shared" si="10"/>
      </c>
      <c r="AR7" s="6">
        <f t="shared" si="27"/>
        <v>0</v>
      </c>
      <c r="AS7" s="49">
        <f t="shared" si="11"/>
      </c>
      <c r="AT7" s="50">
        <f t="shared" si="12"/>
      </c>
      <c r="AU7" s="6">
        <f t="shared" si="28"/>
        <v>0</v>
      </c>
      <c r="AV7" s="51">
        <f t="shared" si="13"/>
      </c>
      <c r="AW7" s="52">
        <f t="shared" si="14"/>
      </c>
      <c r="AX7" s="6">
        <f t="shared" si="29"/>
        <v>0</v>
      </c>
      <c r="AY7" s="49">
        <f t="shared" si="15"/>
      </c>
      <c r="AZ7" s="50">
        <f t="shared" si="16"/>
      </c>
      <c r="BA7" s="6">
        <f t="shared" si="30"/>
        <v>0</v>
      </c>
      <c r="BB7" s="51">
        <f t="shared" si="17"/>
      </c>
      <c r="BC7" s="53">
        <f t="shared" si="18"/>
      </c>
      <c r="BE7" s="42">
        <f>IF(Z48&gt;4,VLOOKUP(5,$Z$4:$AB$48,2,FALSE),"")</f>
      </c>
      <c r="BF7" s="43">
        <f>IF(Z48&gt;4,VLOOKUP(5,$Z$4:$AB$48,3,FALSE),"")</f>
      </c>
      <c r="BG7" s="42">
        <f t="shared" si="31"/>
      </c>
      <c r="BH7" s="62">
        <f t="shared" si="32"/>
      </c>
      <c r="BI7" s="17"/>
      <c r="BJ7" s="42">
        <f>IF(AC48&gt;4,VLOOKUP(5,AC4:AE48,2,FALSE),"")</f>
      </c>
      <c r="BK7" s="43">
        <f>IF(AC48&gt;4,VLOOKUP(5,AC4:AE48,3,FALSE),"")</f>
      </c>
      <c r="BL7" s="42">
        <f t="shared" si="33"/>
      </c>
      <c r="BM7" s="62">
        <f t="shared" si="34"/>
      </c>
    </row>
    <row r="8" spans="1:65" ht="9.75" customHeight="1">
      <c r="A8" s="3"/>
      <c r="B8" s="56"/>
      <c r="C8" s="56"/>
      <c r="D8" s="44">
        <v>3</v>
      </c>
      <c r="E8" s="45">
        <v>4</v>
      </c>
      <c r="F8" s="44">
        <v>2</v>
      </c>
      <c r="G8" s="45">
        <v>4</v>
      </c>
      <c r="H8" s="44">
        <v>3</v>
      </c>
      <c r="I8" s="45">
        <v>6</v>
      </c>
      <c r="J8" s="44">
        <v>1</v>
      </c>
      <c r="K8" s="45">
        <v>6</v>
      </c>
      <c r="L8" s="44">
        <v>1</v>
      </c>
      <c r="M8" s="45">
        <v>7</v>
      </c>
      <c r="N8" s="44">
        <v>4</v>
      </c>
      <c r="O8" s="45">
        <v>8</v>
      </c>
      <c r="P8" s="44">
        <v>4</v>
      </c>
      <c r="Q8" s="45">
        <v>9</v>
      </c>
      <c r="R8" s="47">
        <f>IF($AT$52&gt;2,HLOOKUP($AT$52,$B$3:$Q$48,6,FALSE),0)</f>
        <v>2</v>
      </c>
      <c r="S8" s="48">
        <f>IF($AT$52&gt;2,HLOOKUP($AT$57,$B$3:$Q$48,6,FALSE),0)</f>
        <v>4</v>
      </c>
      <c r="T8" s="525" t="str">
        <f t="shared" si="19"/>
        <v>RVM Bilshausen I</v>
      </c>
      <c r="U8" s="526"/>
      <c r="V8" s="527" t="str">
        <f t="shared" si="20"/>
        <v>RVS Obernfeld I</v>
      </c>
      <c r="W8" s="527"/>
      <c r="X8" s="34">
        <f>IF(ISNUMBER(Y8),'Lizenz Nr.- Eingabe'!P36,"")</f>
        <v>9</v>
      </c>
      <c r="Y8" s="35">
        <f>IF(OR('Lizenz Nr.- Eingabe'!S36="x",ISNUMBER('Lizenz Nr.- Eingabe'!S36)),'Lizenz Nr.- Eingabe'!S36,"")</f>
        <v>0</v>
      </c>
      <c r="Z8" s="6">
        <f t="shared" si="21"/>
        <v>2</v>
      </c>
      <c r="AA8" s="49">
        <f t="shared" si="22"/>
      </c>
      <c r="AB8" s="50">
        <f t="shared" si="0"/>
      </c>
      <c r="AC8" s="6">
        <f t="shared" si="35"/>
        <v>2</v>
      </c>
      <c r="AD8" s="51">
        <f t="shared" si="1"/>
        <v>9</v>
      </c>
      <c r="AE8" s="52">
        <f t="shared" si="2"/>
        <v>0</v>
      </c>
      <c r="AF8" s="6">
        <f t="shared" si="23"/>
        <v>2</v>
      </c>
      <c r="AG8" s="49">
        <f t="shared" si="3"/>
      </c>
      <c r="AH8" s="50">
        <f t="shared" si="4"/>
      </c>
      <c r="AI8" s="6">
        <f t="shared" si="24"/>
        <v>2</v>
      </c>
      <c r="AJ8" s="51">
        <f t="shared" si="5"/>
        <v>0</v>
      </c>
      <c r="AK8" s="52">
        <f t="shared" si="6"/>
        <v>9</v>
      </c>
      <c r="AL8" s="6">
        <f t="shared" si="25"/>
        <v>2</v>
      </c>
      <c r="AM8" s="49">
        <f t="shared" si="7"/>
      </c>
      <c r="AN8" s="50">
        <f t="shared" si="8"/>
      </c>
      <c r="AO8" s="6">
        <f t="shared" si="26"/>
        <v>0</v>
      </c>
      <c r="AP8" s="51">
        <f t="shared" si="9"/>
      </c>
      <c r="AQ8" s="52">
        <f t="shared" si="10"/>
      </c>
      <c r="AR8" s="6">
        <f t="shared" si="27"/>
        <v>0</v>
      </c>
      <c r="AS8" s="49">
        <f t="shared" si="11"/>
      </c>
      <c r="AT8" s="50">
        <f t="shared" si="12"/>
      </c>
      <c r="AU8" s="6">
        <f t="shared" si="28"/>
        <v>0</v>
      </c>
      <c r="AV8" s="51">
        <f t="shared" si="13"/>
      </c>
      <c r="AW8" s="52">
        <f t="shared" si="14"/>
      </c>
      <c r="AX8" s="6">
        <f t="shared" si="29"/>
        <v>0</v>
      </c>
      <c r="AY8" s="49">
        <f t="shared" si="15"/>
      </c>
      <c r="AZ8" s="50">
        <f t="shared" si="16"/>
      </c>
      <c r="BA8" s="6">
        <f t="shared" si="30"/>
        <v>0</v>
      </c>
      <c r="BB8" s="51">
        <f t="shared" si="17"/>
      </c>
      <c r="BC8" s="53">
        <f t="shared" si="18"/>
      </c>
      <c r="BE8" s="42">
        <f>IF(Z48&gt;5,VLOOKUP(6,$Z$4:$AB$48,2,FALSE),"")</f>
      </c>
      <c r="BF8" s="43">
        <f>IF(Z48&gt;5,VLOOKUP(6,$Z$4:$AB$48,3,FALSE),"")</f>
      </c>
      <c r="BG8" s="42">
        <f t="shared" si="31"/>
      </c>
      <c r="BH8" s="62">
        <f t="shared" si="32"/>
      </c>
      <c r="BI8" s="17"/>
      <c r="BJ8" s="42">
        <f>IF(AC48&gt;5,VLOOKUP(6,AC4:AE48,2,FALSE),"")</f>
      </c>
      <c r="BK8" s="43">
        <f>IF(AC48&gt;5,VLOOKUP(6,AC4:AE48,3,FALSE),"")</f>
      </c>
      <c r="BL8" s="42">
        <f t="shared" si="33"/>
      </c>
      <c r="BM8" s="62">
        <f t="shared" si="34"/>
      </c>
    </row>
    <row r="9" spans="1:65" ht="9.75" customHeight="1" thickBot="1">
      <c r="A9" s="3"/>
      <c r="B9" s="56"/>
      <c r="C9" s="56"/>
      <c r="D9" s="54">
        <v>1</v>
      </c>
      <c r="E9" s="55">
        <v>2</v>
      </c>
      <c r="F9" s="44">
        <v>3</v>
      </c>
      <c r="G9" s="45">
        <v>5</v>
      </c>
      <c r="H9" s="44">
        <v>2</v>
      </c>
      <c r="I9" s="45">
        <v>5</v>
      </c>
      <c r="J9" s="44">
        <v>2</v>
      </c>
      <c r="K9" s="45">
        <v>5</v>
      </c>
      <c r="L9" s="44">
        <v>2</v>
      </c>
      <c r="M9" s="45">
        <v>6</v>
      </c>
      <c r="N9" s="44">
        <v>3</v>
      </c>
      <c r="O9" s="45">
        <v>7</v>
      </c>
      <c r="P9" s="44">
        <v>3</v>
      </c>
      <c r="Q9" s="45">
        <v>8</v>
      </c>
      <c r="R9" s="47">
        <f>IF($AT$52&gt;2,HLOOKUP($AT$52,$B$3:$Q$48,7,FALSE),0)</f>
        <v>3</v>
      </c>
      <c r="S9" s="48">
        <f>IF($AT$52&gt;2,HLOOKUP($AT$57,$B$3:$Q$48,7,FALSE),0)</f>
        <v>5</v>
      </c>
      <c r="T9" s="525" t="str">
        <f t="shared" si="19"/>
        <v>RCG Hahndorf I</v>
      </c>
      <c r="U9" s="526"/>
      <c r="V9" s="527" t="str">
        <f t="shared" si="20"/>
        <v>RV Etelsen II</v>
      </c>
      <c r="W9" s="527"/>
      <c r="X9" s="34">
        <f>IF(ISNUMBER(Y9),'Lizenz Nr.- Eingabe'!P37,"")</f>
        <v>0</v>
      </c>
      <c r="Y9" s="35">
        <f>IF(OR('Lizenz Nr.- Eingabe'!S37="x",ISNUMBER('Lizenz Nr.- Eingabe'!S37)),'Lizenz Nr.- Eingabe'!S37,"")</f>
        <v>5</v>
      </c>
      <c r="Z9" s="6">
        <f t="shared" si="21"/>
        <v>2</v>
      </c>
      <c r="AA9" s="49">
        <f t="shared" si="22"/>
      </c>
      <c r="AB9" s="50">
        <f t="shared" si="0"/>
      </c>
      <c r="AC9" s="6">
        <f t="shared" si="35"/>
        <v>2</v>
      </c>
      <c r="AD9" s="51">
        <f t="shared" si="1"/>
      </c>
      <c r="AE9" s="52">
        <f t="shared" si="2"/>
      </c>
      <c r="AF9" s="6">
        <f t="shared" si="23"/>
        <v>3</v>
      </c>
      <c r="AG9" s="49">
        <f t="shared" si="3"/>
        <v>0</v>
      </c>
      <c r="AH9" s="50">
        <f t="shared" si="4"/>
        <v>5</v>
      </c>
      <c r="AI9" s="6">
        <f t="shared" si="24"/>
        <v>2</v>
      </c>
      <c r="AJ9" s="51">
        <f t="shared" si="5"/>
      </c>
      <c r="AK9" s="52">
        <f t="shared" si="6"/>
      </c>
      <c r="AL9" s="6">
        <f t="shared" si="25"/>
        <v>3</v>
      </c>
      <c r="AM9" s="49">
        <f t="shared" si="7"/>
        <v>5</v>
      </c>
      <c r="AN9" s="50">
        <f t="shared" si="8"/>
        <v>0</v>
      </c>
      <c r="AO9" s="6">
        <f t="shared" si="26"/>
        <v>0</v>
      </c>
      <c r="AP9" s="51">
        <f t="shared" si="9"/>
      </c>
      <c r="AQ9" s="52">
        <f t="shared" si="10"/>
      </c>
      <c r="AR9" s="6">
        <f t="shared" si="27"/>
        <v>0</v>
      </c>
      <c r="AS9" s="49">
        <f t="shared" si="11"/>
      </c>
      <c r="AT9" s="50">
        <f t="shared" si="12"/>
      </c>
      <c r="AU9" s="6">
        <f t="shared" si="28"/>
        <v>0</v>
      </c>
      <c r="AV9" s="51">
        <f t="shared" si="13"/>
      </c>
      <c r="AW9" s="52">
        <f t="shared" si="14"/>
      </c>
      <c r="AX9" s="6">
        <f t="shared" si="29"/>
        <v>0</v>
      </c>
      <c r="AY9" s="49">
        <f t="shared" si="15"/>
      </c>
      <c r="AZ9" s="50">
        <f t="shared" si="16"/>
      </c>
      <c r="BA9" s="6">
        <f t="shared" si="30"/>
        <v>0</v>
      </c>
      <c r="BB9" s="51">
        <f t="shared" si="17"/>
      </c>
      <c r="BC9" s="53">
        <f t="shared" si="18"/>
      </c>
      <c r="BE9" s="42">
        <f>IF(Z48&gt;6,VLOOKUP(7,$Z$4:$AB$48,2,FALSE),"")</f>
      </c>
      <c r="BF9" s="43">
        <f>IF(AND($AT$52&gt;7,Z48&gt;6),VLOOKUP(7,$Z$4:$AB$48,3,FALSE),"")</f>
      </c>
      <c r="BG9" s="42">
        <f t="shared" si="31"/>
      </c>
      <c r="BH9" s="62">
        <f t="shared" si="32"/>
      </c>
      <c r="BI9" s="17"/>
      <c r="BJ9" s="42">
        <f>IF(AC48&gt;6,VLOOKUP(7,AC4:AE48,2,FALSE),"")</f>
      </c>
      <c r="BK9" s="43">
        <f>IF(AC48&gt;6,VLOOKUP(7,AC4:AE48,3,FALSE),"")</f>
      </c>
      <c r="BL9" s="42">
        <f t="shared" si="33"/>
      </c>
      <c r="BM9" s="62">
        <f t="shared" si="34"/>
      </c>
    </row>
    <row r="10" spans="1:65" ht="9.75" customHeight="1">
      <c r="A10" s="3"/>
      <c r="B10" s="56"/>
      <c r="C10" s="56"/>
      <c r="D10" s="30">
        <v>1</v>
      </c>
      <c r="E10" s="31">
        <v>4</v>
      </c>
      <c r="F10" s="44">
        <v>1</v>
      </c>
      <c r="G10" s="45">
        <v>4</v>
      </c>
      <c r="H10" s="44">
        <v>4</v>
      </c>
      <c r="I10" s="45">
        <v>6</v>
      </c>
      <c r="J10" s="44">
        <v>3</v>
      </c>
      <c r="K10" s="45">
        <v>4</v>
      </c>
      <c r="L10" s="44">
        <v>4</v>
      </c>
      <c r="M10" s="45">
        <v>8</v>
      </c>
      <c r="N10" s="44">
        <v>6</v>
      </c>
      <c r="O10" s="45">
        <v>9</v>
      </c>
      <c r="P10" s="44">
        <v>2</v>
      </c>
      <c r="Q10" s="46">
        <v>10</v>
      </c>
      <c r="R10" s="47">
        <f>IF($AT$52&gt;2,HLOOKUP($AT$52,$B$3:$Q$48,8,FALSE),0)</f>
        <v>1</v>
      </c>
      <c r="S10" s="48">
        <f>IF($AT$52&gt;2,HLOOKUP($AT$57,$B$3:$Q$48,8,FALSE),0)</f>
        <v>4</v>
      </c>
      <c r="T10" s="525" t="str">
        <f t="shared" si="19"/>
        <v>RV Etelsen I</v>
      </c>
      <c r="U10" s="526"/>
      <c r="V10" s="527" t="str">
        <f t="shared" si="20"/>
        <v>RVS Obernfeld I</v>
      </c>
      <c r="W10" s="527"/>
      <c r="X10" s="34">
        <f>IF(ISNUMBER(Y10),'Lizenz Nr.- Eingabe'!P38,"")</f>
        <v>3</v>
      </c>
      <c r="Y10" s="35">
        <f>IF(OR('Lizenz Nr.- Eingabe'!S38="x",ISNUMBER('Lizenz Nr.- Eingabe'!S38)),'Lizenz Nr.- Eingabe'!S38,"")</f>
        <v>0</v>
      </c>
      <c r="Z10" s="6">
        <f t="shared" si="21"/>
        <v>3</v>
      </c>
      <c r="AA10" s="49">
        <f t="shared" si="22"/>
        <v>3</v>
      </c>
      <c r="AB10" s="50">
        <f t="shared" si="0"/>
        <v>0</v>
      </c>
      <c r="AC10" s="6">
        <f t="shared" si="35"/>
        <v>2</v>
      </c>
      <c r="AD10" s="51">
        <f t="shared" si="1"/>
      </c>
      <c r="AE10" s="52">
        <f t="shared" si="2"/>
      </c>
      <c r="AF10" s="6">
        <f t="shared" si="23"/>
        <v>3</v>
      </c>
      <c r="AG10" s="49">
        <f t="shared" si="3"/>
      </c>
      <c r="AH10" s="50">
        <f t="shared" si="4"/>
      </c>
      <c r="AI10" s="6">
        <f t="shared" si="24"/>
        <v>3</v>
      </c>
      <c r="AJ10" s="51">
        <f t="shared" si="5"/>
        <v>0</v>
      </c>
      <c r="AK10" s="52">
        <f t="shared" si="6"/>
        <v>3</v>
      </c>
      <c r="AL10" s="6">
        <f t="shared" si="25"/>
        <v>3</v>
      </c>
      <c r="AM10" s="49">
        <f t="shared" si="7"/>
      </c>
      <c r="AN10" s="50">
        <f t="shared" si="8"/>
      </c>
      <c r="AO10" s="6">
        <f t="shared" si="26"/>
        <v>0</v>
      </c>
      <c r="AP10" s="51">
        <f t="shared" si="9"/>
      </c>
      <c r="AQ10" s="52">
        <f t="shared" si="10"/>
      </c>
      <c r="AR10" s="6">
        <f t="shared" si="27"/>
        <v>0</v>
      </c>
      <c r="AS10" s="49">
        <f t="shared" si="11"/>
      </c>
      <c r="AT10" s="50">
        <f t="shared" si="12"/>
      </c>
      <c r="AU10" s="6">
        <f t="shared" si="28"/>
        <v>0</v>
      </c>
      <c r="AV10" s="51">
        <f t="shared" si="13"/>
      </c>
      <c r="AW10" s="52">
        <f t="shared" si="14"/>
      </c>
      <c r="AX10" s="6">
        <f t="shared" si="29"/>
        <v>0</v>
      </c>
      <c r="AY10" s="49">
        <f t="shared" si="15"/>
      </c>
      <c r="AZ10" s="50">
        <f t="shared" si="16"/>
      </c>
      <c r="BA10" s="6">
        <f t="shared" si="30"/>
        <v>0</v>
      </c>
      <c r="BB10" s="51">
        <f t="shared" si="17"/>
      </c>
      <c r="BC10" s="53">
        <f t="shared" si="18"/>
      </c>
      <c r="BE10" s="42">
        <f>IF(Z48&gt;7,VLOOKUP(8,$Z$4:$AB$48,2,FALSE),"")</f>
      </c>
      <c r="BF10" s="43">
        <f>IF(AND($AT$52&gt;8,Z48&gt;7),VLOOKUP(8,$Z$4:$AB$48,3,FALSE),"")</f>
      </c>
      <c r="BG10" s="42">
        <f t="shared" si="31"/>
      </c>
      <c r="BH10" s="62">
        <f t="shared" si="32"/>
      </c>
      <c r="BI10" s="17"/>
      <c r="BJ10" s="42">
        <f>IF(AC48&gt;7,VLOOKUP(8,AC4:AE48,2,FALSE),"")</f>
      </c>
      <c r="BK10" s="43">
        <f>IF(AC48&gt;7,VLOOKUP(8,AC4:AE48,3,FALSE),"")</f>
      </c>
      <c r="BL10" s="42">
        <f t="shared" si="33"/>
      </c>
      <c r="BM10" s="62">
        <f t="shared" si="34"/>
      </c>
    </row>
    <row r="11" spans="1:65" ht="9.75" customHeight="1" thickBot="1">
      <c r="A11" s="3"/>
      <c r="B11" s="56"/>
      <c r="C11" s="56"/>
      <c r="D11" s="44">
        <v>2</v>
      </c>
      <c r="E11" s="45">
        <v>3</v>
      </c>
      <c r="F11" s="44">
        <v>2</v>
      </c>
      <c r="G11" s="45">
        <v>5</v>
      </c>
      <c r="H11" s="44">
        <v>1</v>
      </c>
      <c r="I11" s="45">
        <v>5</v>
      </c>
      <c r="J11" s="44">
        <v>6</v>
      </c>
      <c r="K11" s="45">
        <v>7</v>
      </c>
      <c r="L11" s="44">
        <v>3</v>
      </c>
      <c r="M11" s="45">
        <v>5</v>
      </c>
      <c r="N11" s="44">
        <v>1</v>
      </c>
      <c r="O11" s="45">
        <v>5</v>
      </c>
      <c r="P11" s="44">
        <v>4</v>
      </c>
      <c r="Q11" s="45">
        <v>5</v>
      </c>
      <c r="R11" s="47">
        <f>IF($AT$52&gt;2,HLOOKUP($AT$52,$B$3:$Q$48,9,FALSE),0)</f>
        <v>2</v>
      </c>
      <c r="S11" s="48">
        <f>IF($AT$52&gt;2,HLOOKUP($AT$57,$B$3:$Q$48,9,FALSE),0)</f>
        <v>5</v>
      </c>
      <c r="T11" s="525" t="str">
        <f t="shared" si="19"/>
        <v>RVM Bilshausen I</v>
      </c>
      <c r="U11" s="526"/>
      <c r="V11" s="527" t="str">
        <f t="shared" si="20"/>
        <v>RV Etelsen II</v>
      </c>
      <c r="W11" s="527"/>
      <c r="X11" s="34">
        <f>IF(ISNUMBER(Y11),'Lizenz Nr.- Eingabe'!P39,"")</f>
        <v>11</v>
      </c>
      <c r="Y11" s="35">
        <f>IF(OR('Lizenz Nr.- Eingabe'!S39="x",ISNUMBER('Lizenz Nr.- Eingabe'!S39)),'Lizenz Nr.- Eingabe'!S39,"")</f>
        <v>0</v>
      </c>
      <c r="Z11" s="6">
        <f t="shared" si="21"/>
        <v>3</v>
      </c>
      <c r="AA11" s="49">
        <f t="shared" si="22"/>
      </c>
      <c r="AB11" s="50">
        <f t="shared" si="0"/>
      </c>
      <c r="AC11" s="6">
        <f t="shared" si="35"/>
        <v>3</v>
      </c>
      <c r="AD11" s="51">
        <f t="shared" si="1"/>
        <v>11</v>
      </c>
      <c r="AE11" s="52">
        <f t="shared" si="2"/>
        <v>0</v>
      </c>
      <c r="AF11" s="6">
        <f t="shared" si="23"/>
        <v>3</v>
      </c>
      <c r="AG11" s="49">
        <f t="shared" si="3"/>
      </c>
      <c r="AH11" s="50">
        <f t="shared" si="4"/>
      </c>
      <c r="AI11" s="6">
        <f t="shared" si="24"/>
        <v>3</v>
      </c>
      <c r="AJ11" s="51">
        <f t="shared" si="5"/>
      </c>
      <c r="AK11" s="52">
        <f t="shared" si="6"/>
      </c>
      <c r="AL11" s="6">
        <f t="shared" si="25"/>
        <v>4</v>
      </c>
      <c r="AM11" s="49">
        <f t="shared" si="7"/>
        <v>0</v>
      </c>
      <c r="AN11" s="50">
        <f t="shared" si="8"/>
        <v>11</v>
      </c>
      <c r="AO11" s="6">
        <f t="shared" si="26"/>
        <v>0</v>
      </c>
      <c r="AP11" s="51">
        <f t="shared" si="9"/>
      </c>
      <c r="AQ11" s="52">
        <f t="shared" si="10"/>
      </c>
      <c r="AR11" s="6">
        <f t="shared" si="27"/>
        <v>0</v>
      </c>
      <c r="AS11" s="49">
        <f t="shared" si="11"/>
      </c>
      <c r="AT11" s="50">
        <f t="shared" si="12"/>
      </c>
      <c r="AU11" s="6">
        <f t="shared" si="28"/>
        <v>0</v>
      </c>
      <c r="AV11" s="51">
        <f t="shared" si="13"/>
      </c>
      <c r="AW11" s="52">
        <f t="shared" si="14"/>
      </c>
      <c r="AX11" s="6">
        <f t="shared" si="29"/>
        <v>0</v>
      </c>
      <c r="AY11" s="49">
        <f t="shared" si="15"/>
      </c>
      <c r="AZ11" s="50">
        <f t="shared" si="16"/>
      </c>
      <c r="BA11" s="6">
        <f t="shared" si="30"/>
        <v>0</v>
      </c>
      <c r="BB11" s="51">
        <f t="shared" si="17"/>
      </c>
      <c r="BC11" s="53">
        <f t="shared" si="18"/>
      </c>
      <c r="BE11" s="57">
        <f>IF(Z48&gt;8,VLOOKUP(9,$Z$4:$AB$48,2,FALSE),"")</f>
      </c>
      <c r="BF11" s="58">
        <f>IF(Z48&gt;8,VLOOKUP(9,$Z$4:$AB$48,3,FALSE),"")</f>
      </c>
      <c r="BG11" s="42">
        <f t="shared" si="31"/>
      </c>
      <c r="BH11" s="62">
        <f>IF(ISNUMBER(BF11),IF(BE11=BF11,1,IF(BE11&lt;BF11,$BB$52,0)),"")</f>
      </c>
      <c r="BI11" s="17"/>
      <c r="BJ11" s="57">
        <f>IF(AC48&gt;8,VLOOKUP(9,AC4:AE48,2,FALSE),"")</f>
      </c>
      <c r="BK11" s="58">
        <f>IF(AC48&gt;8,VLOOKUP(9,AC4:AE48,3,FALSE),"")</f>
      </c>
      <c r="BL11" s="42">
        <f>IF(ISNUMBER(BK11),IF(BJ11=BK11,1,IF(BJ11&gt;BK11,$BB$52,0)),"")</f>
      </c>
      <c r="BM11" s="62">
        <f t="shared" si="34"/>
      </c>
    </row>
    <row r="12" spans="1:65" ht="9.75" customHeight="1" thickBot="1">
      <c r="A12" s="3"/>
      <c r="B12" s="56"/>
      <c r="C12" s="56"/>
      <c r="D12" s="44">
        <v>1</v>
      </c>
      <c r="E12" s="45">
        <v>3</v>
      </c>
      <c r="F12" s="44">
        <v>3</v>
      </c>
      <c r="G12" s="45">
        <v>4</v>
      </c>
      <c r="H12" s="44">
        <v>2</v>
      </c>
      <c r="I12" s="45">
        <v>3</v>
      </c>
      <c r="J12" s="44">
        <v>1</v>
      </c>
      <c r="K12" s="45">
        <v>5</v>
      </c>
      <c r="L12" s="44">
        <v>1</v>
      </c>
      <c r="M12" s="45">
        <v>6</v>
      </c>
      <c r="N12" s="44">
        <v>2</v>
      </c>
      <c r="O12" s="45">
        <v>4</v>
      </c>
      <c r="P12" s="44">
        <v>1</v>
      </c>
      <c r="Q12" s="45">
        <v>9</v>
      </c>
      <c r="R12" s="47">
        <f>IF($AT$52&gt;2,HLOOKUP($AT$52,$B$3:$Q$48,10,FALSE),0)</f>
        <v>3</v>
      </c>
      <c r="S12" s="48">
        <f>IF($AT$52&gt;2,HLOOKUP($AT$57,$B$3:$Q$48,10,FALSE),0)</f>
        <v>4</v>
      </c>
      <c r="T12" s="525" t="str">
        <f t="shared" si="19"/>
        <v>RCG Hahndorf I</v>
      </c>
      <c r="U12" s="526"/>
      <c r="V12" s="527" t="str">
        <f t="shared" si="20"/>
        <v>RVS Obernfeld I</v>
      </c>
      <c r="W12" s="527"/>
      <c r="X12" s="34">
        <f>IF(ISNUMBER(Y12),'Lizenz Nr.- Eingabe'!P40,"")</f>
        <v>0</v>
      </c>
      <c r="Y12" s="35">
        <f>IF(OR('Lizenz Nr.- Eingabe'!S40="x",ISNUMBER('Lizenz Nr.- Eingabe'!S40)),'Lizenz Nr.- Eingabe'!S40,"")</f>
        <v>5</v>
      </c>
      <c r="Z12" s="6">
        <f t="shared" si="21"/>
        <v>3</v>
      </c>
      <c r="AA12" s="49">
        <f t="shared" si="22"/>
      </c>
      <c r="AB12" s="50">
        <f t="shared" si="0"/>
      </c>
      <c r="AC12" s="6">
        <f t="shared" si="35"/>
        <v>3</v>
      </c>
      <c r="AD12" s="51">
        <f t="shared" si="1"/>
      </c>
      <c r="AE12" s="52">
        <f t="shared" si="2"/>
      </c>
      <c r="AF12" s="6">
        <f t="shared" si="23"/>
        <v>4</v>
      </c>
      <c r="AG12" s="49">
        <f t="shared" si="3"/>
        <v>0</v>
      </c>
      <c r="AH12" s="50">
        <f t="shared" si="4"/>
        <v>5</v>
      </c>
      <c r="AI12" s="6">
        <f t="shared" si="24"/>
        <v>4</v>
      </c>
      <c r="AJ12" s="51">
        <f t="shared" si="5"/>
        <v>5</v>
      </c>
      <c r="AK12" s="52">
        <f t="shared" si="6"/>
        <v>0</v>
      </c>
      <c r="AL12" s="6">
        <f t="shared" si="25"/>
        <v>4</v>
      </c>
      <c r="AM12" s="49">
        <f t="shared" si="7"/>
      </c>
      <c r="AN12" s="50">
        <f t="shared" si="8"/>
      </c>
      <c r="AO12" s="6">
        <f t="shared" si="26"/>
        <v>0</v>
      </c>
      <c r="AP12" s="51">
        <f t="shared" si="9"/>
      </c>
      <c r="AQ12" s="52">
        <f t="shared" si="10"/>
      </c>
      <c r="AR12" s="6">
        <f t="shared" si="27"/>
        <v>0</v>
      </c>
      <c r="AS12" s="49">
        <f t="shared" si="11"/>
      </c>
      <c r="AT12" s="50">
        <f t="shared" si="12"/>
      </c>
      <c r="AU12" s="6">
        <f t="shared" si="28"/>
        <v>0</v>
      </c>
      <c r="AV12" s="51">
        <f t="shared" si="13"/>
      </c>
      <c r="AW12" s="52">
        <f t="shared" si="14"/>
      </c>
      <c r="AX12" s="6">
        <f t="shared" si="29"/>
        <v>0</v>
      </c>
      <c r="AY12" s="49">
        <f t="shared" si="15"/>
      </c>
      <c r="AZ12" s="50">
        <f t="shared" si="16"/>
      </c>
      <c r="BA12" s="6">
        <f t="shared" si="30"/>
        <v>0</v>
      </c>
      <c r="BB12" s="51">
        <f t="shared" si="17"/>
      </c>
      <c r="BC12" s="53">
        <f t="shared" si="18"/>
      </c>
      <c r="BE12" s="18">
        <f>IF(ISNUMBER(BE3),SUM(BE3:BE11),"")</f>
        <v>10</v>
      </c>
      <c r="BF12" s="19">
        <f>IF(ISNUMBER(BF3),SUM(BF3:BF11),"")</f>
        <v>10</v>
      </c>
      <c r="BG12" s="18">
        <f>IF(ISNUMBER(BG3),SUM(BG3:BG11),"")</f>
        <v>9</v>
      </c>
      <c r="BH12" s="20">
        <f>IF(ISNUMBER(BH3),SUM(BH3:BH11),"")</f>
        <v>3</v>
      </c>
      <c r="BI12" s="21"/>
      <c r="BJ12" s="18">
        <f>IF(ISNUMBER(BJ3),SUM(BJ3:BJ11),"")</f>
        <v>35</v>
      </c>
      <c r="BK12" s="19">
        <f>IF(ISNUMBER(BK3),SUM(BK3:BK11),"")</f>
        <v>0</v>
      </c>
      <c r="BL12" s="18">
        <f>IF(ISNUMBER(BL3),SUM(BL3:BL11),"")</f>
        <v>12</v>
      </c>
      <c r="BM12" s="20">
        <f>IF(ISNUMBER(BM3),SUM(BM3:BM11),"")</f>
        <v>0</v>
      </c>
    </row>
    <row r="13" spans="1:65" ht="9.75" customHeight="1" thickBot="1">
      <c r="A13" s="3"/>
      <c r="B13" s="56"/>
      <c r="C13" s="56"/>
      <c r="D13" s="44">
        <v>2</v>
      </c>
      <c r="E13" s="45">
        <v>4</v>
      </c>
      <c r="F13" s="54">
        <v>1</v>
      </c>
      <c r="G13" s="55">
        <v>2</v>
      </c>
      <c r="H13" s="44">
        <v>4</v>
      </c>
      <c r="I13" s="45">
        <v>5</v>
      </c>
      <c r="J13" s="44">
        <v>2</v>
      </c>
      <c r="K13" s="45">
        <v>4</v>
      </c>
      <c r="L13" s="44">
        <v>4</v>
      </c>
      <c r="M13" s="45">
        <v>7</v>
      </c>
      <c r="N13" s="44">
        <v>3</v>
      </c>
      <c r="O13" s="45">
        <v>8</v>
      </c>
      <c r="P13" s="44">
        <v>6</v>
      </c>
      <c r="Q13" s="45">
        <v>7</v>
      </c>
      <c r="R13" s="47">
        <f>IF($AT$52&gt;2,HLOOKUP($AT$52,$B$3:$Q$48,11,FALSE),0)</f>
        <v>1</v>
      </c>
      <c r="S13" s="48">
        <f>IF($AT$52&gt;2,HLOOKUP($AT$57,$B$3:$Q$48,11,FALSE),0)</f>
        <v>2</v>
      </c>
      <c r="T13" s="525" t="str">
        <f t="shared" si="19"/>
        <v>RV Etelsen I</v>
      </c>
      <c r="U13" s="526"/>
      <c r="V13" s="527" t="str">
        <f t="shared" si="20"/>
        <v>RVM Bilshausen I</v>
      </c>
      <c r="W13" s="527"/>
      <c r="X13" s="34">
        <f>IF(ISNUMBER(Y13),'Lizenz Nr.- Eingabe'!P41,"")</f>
        <v>0</v>
      </c>
      <c r="Y13" s="35">
        <f>IF(OR('Lizenz Nr.- Eingabe'!S41="x",ISNUMBER('Lizenz Nr.- Eingabe'!S41)),'Lizenz Nr.- Eingabe'!S41,"")</f>
        <v>10</v>
      </c>
      <c r="Z13" s="6">
        <f t="shared" si="21"/>
        <v>4</v>
      </c>
      <c r="AA13" s="49">
        <f t="shared" si="22"/>
        <v>0</v>
      </c>
      <c r="AB13" s="50">
        <f t="shared" si="0"/>
        <v>10</v>
      </c>
      <c r="AC13" s="6">
        <f t="shared" si="35"/>
        <v>4</v>
      </c>
      <c r="AD13" s="51">
        <f t="shared" si="1"/>
        <v>10</v>
      </c>
      <c r="AE13" s="52">
        <f t="shared" si="2"/>
        <v>0</v>
      </c>
      <c r="AF13" s="6">
        <f t="shared" si="23"/>
        <v>4</v>
      </c>
      <c r="AG13" s="49">
        <f t="shared" si="3"/>
      </c>
      <c r="AH13" s="50">
        <f t="shared" si="4"/>
      </c>
      <c r="AI13" s="6">
        <f t="shared" si="24"/>
        <v>4</v>
      </c>
      <c r="AJ13" s="51">
        <f t="shared" si="5"/>
      </c>
      <c r="AK13" s="52">
        <f t="shared" si="6"/>
      </c>
      <c r="AL13" s="6">
        <f t="shared" si="25"/>
        <v>4</v>
      </c>
      <c r="AM13" s="49">
        <f t="shared" si="7"/>
      </c>
      <c r="AN13" s="50">
        <f t="shared" si="8"/>
      </c>
      <c r="AO13" s="6">
        <f t="shared" si="26"/>
        <v>0</v>
      </c>
      <c r="AP13" s="51">
        <f t="shared" si="9"/>
      </c>
      <c r="AQ13" s="52">
        <f t="shared" si="10"/>
      </c>
      <c r="AR13" s="6">
        <f t="shared" si="27"/>
        <v>0</v>
      </c>
      <c r="AS13" s="49">
        <f t="shared" si="11"/>
      </c>
      <c r="AT13" s="50">
        <f t="shared" si="12"/>
      </c>
      <c r="AU13" s="6">
        <f t="shared" si="28"/>
        <v>0</v>
      </c>
      <c r="AV13" s="51">
        <f t="shared" si="13"/>
      </c>
      <c r="AW13" s="52">
        <f t="shared" si="14"/>
      </c>
      <c r="AX13" s="6">
        <f t="shared" si="29"/>
        <v>0</v>
      </c>
      <c r="AY13" s="49">
        <f t="shared" si="15"/>
      </c>
      <c r="AZ13" s="50">
        <f t="shared" si="16"/>
      </c>
      <c r="BA13" s="6">
        <f t="shared" si="30"/>
        <v>0</v>
      </c>
      <c r="BB13" s="51">
        <f t="shared" si="17"/>
      </c>
      <c r="BC13" s="53">
        <f t="shared" si="18"/>
      </c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 thickBot="1">
      <c r="A14" s="3"/>
      <c r="B14" s="56"/>
      <c r="C14" s="56"/>
      <c r="D14" s="44">
        <v>3</v>
      </c>
      <c r="E14" s="45">
        <v>4</v>
      </c>
      <c r="F14" s="56"/>
      <c r="G14" s="56"/>
      <c r="H14" s="44">
        <v>2</v>
      </c>
      <c r="I14" s="45">
        <v>6</v>
      </c>
      <c r="J14" s="44">
        <v>3</v>
      </c>
      <c r="K14" s="45">
        <v>7</v>
      </c>
      <c r="L14" s="44">
        <v>3</v>
      </c>
      <c r="M14" s="45">
        <v>8</v>
      </c>
      <c r="N14" s="59">
        <v>1</v>
      </c>
      <c r="O14" s="45">
        <v>9</v>
      </c>
      <c r="P14" s="44">
        <v>2</v>
      </c>
      <c r="Q14" s="45">
        <v>5</v>
      </c>
      <c r="R14" s="47">
        <f>IF($AT$52&gt;2,HLOOKUP($AT$52,$B$3:$Q$48,12,FALSE),0)</f>
        <v>0</v>
      </c>
      <c r="S14" s="48">
        <f>IF($AT$52&gt;2,HLOOKUP($AT$57,$B$3:$Q$48,12,FALSE),0)</f>
        <v>0</v>
      </c>
      <c r="T14" s="525">
        <f t="shared" si="19"/>
      </c>
      <c r="U14" s="526"/>
      <c r="V14" s="527">
        <f t="shared" si="20"/>
      </c>
      <c r="W14" s="527"/>
      <c r="X14" s="34">
        <f>IF(ISNUMBER(Y14),'Lizenz Nr.- Eingabe'!P42,"")</f>
      </c>
      <c r="Y14" s="35">
        <f>IF(OR('Lizenz Nr.- Eingabe'!S42="x",ISNUMBER('Lizenz Nr.- Eingabe'!S42)),'Lizenz Nr.- Eingabe'!S42,"")</f>
      </c>
      <c r="Z14" s="6">
        <f t="shared" si="21"/>
        <v>4</v>
      </c>
      <c r="AA14" s="49">
        <f t="shared" si="22"/>
      </c>
      <c r="AB14" s="50">
        <f t="shared" si="0"/>
      </c>
      <c r="AC14" s="6">
        <f t="shared" si="35"/>
        <v>4</v>
      </c>
      <c r="AD14" s="51">
        <f t="shared" si="1"/>
      </c>
      <c r="AE14" s="52">
        <f t="shared" si="2"/>
      </c>
      <c r="AF14" s="6">
        <f t="shared" si="23"/>
        <v>4</v>
      </c>
      <c r="AG14" s="49">
        <f t="shared" si="3"/>
      </c>
      <c r="AH14" s="50">
        <f t="shared" si="4"/>
      </c>
      <c r="AI14" s="6">
        <f t="shared" si="24"/>
        <v>4</v>
      </c>
      <c r="AJ14" s="51">
        <f t="shared" si="5"/>
      </c>
      <c r="AK14" s="52">
        <f t="shared" si="6"/>
      </c>
      <c r="AL14" s="6">
        <f t="shared" si="25"/>
        <v>4</v>
      </c>
      <c r="AM14" s="49">
        <f t="shared" si="7"/>
      </c>
      <c r="AN14" s="50">
        <f t="shared" si="8"/>
      </c>
      <c r="AO14" s="6">
        <f t="shared" si="26"/>
        <v>0</v>
      </c>
      <c r="AP14" s="51">
        <f t="shared" si="9"/>
      </c>
      <c r="AQ14" s="52">
        <f t="shared" si="10"/>
      </c>
      <c r="AR14" s="6">
        <f t="shared" si="27"/>
        <v>0</v>
      </c>
      <c r="AS14" s="49">
        <f t="shared" si="11"/>
      </c>
      <c r="AT14" s="50">
        <f t="shared" si="12"/>
      </c>
      <c r="AU14" s="6">
        <f t="shared" si="28"/>
        <v>0</v>
      </c>
      <c r="AV14" s="51">
        <f t="shared" si="13"/>
      </c>
      <c r="AW14" s="52">
        <f t="shared" si="14"/>
      </c>
      <c r="AX14" s="6">
        <f t="shared" si="29"/>
        <v>0</v>
      </c>
      <c r="AY14" s="49">
        <f t="shared" si="15"/>
      </c>
      <c r="AZ14" s="50">
        <f t="shared" si="16"/>
      </c>
      <c r="BA14" s="6">
        <f t="shared" si="30"/>
        <v>0</v>
      </c>
      <c r="BB14" s="51">
        <f t="shared" si="17"/>
      </c>
      <c r="BC14" s="53">
        <f t="shared" si="18"/>
      </c>
      <c r="BE14" s="498" t="str">
        <f>C54</f>
        <v>RCG Hahndorf I</v>
      </c>
      <c r="BF14" s="499"/>
      <c r="BG14" s="499"/>
      <c r="BH14" s="500"/>
      <c r="BI14" s="17"/>
      <c r="BJ14" s="498" t="str">
        <f>C55</f>
        <v>RVS Obernfeld I</v>
      </c>
      <c r="BK14" s="499"/>
      <c r="BL14" s="499"/>
      <c r="BM14" s="500"/>
    </row>
    <row r="15" spans="1:65" ht="9.75" customHeight="1" thickBot="1">
      <c r="A15" s="3"/>
      <c r="B15" s="21"/>
      <c r="C15" s="56"/>
      <c r="D15" s="54">
        <v>1</v>
      </c>
      <c r="E15" s="55">
        <v>2</v>
      </c>
      <c r="F15" s="56"/>
      <c r="G15" s="56"/>
      <c r="H15" s="44">
        <v>1</v>
      </c>
      <c r="I15" s="45">
        <v>3</v>
      </c>
      <c r="J15" s="44">
        <v>5</v>
      </c>
      <c r="K15" s="45">
        <v>6</v>
      </c>
      <c r="L15" s="44">
        <v>2</v>
      </c>
      <c r="M15" s="45">
        <v>5</v>
      </c>
      <c r="N15" s="44">
        <v>4</v>
      </c>
      <c r="O15" s="45">
        <v>7</v>
      </c>
      <c r="P15" s="44">
        <v>8</v>
      </c>
      <c r="Q15" s="45">
        <v>9</v>
      </c>
      <c r="R15" s="47">
        <f>IF($AT$52&gt;2,HLOOKUP($AT$52,$B$3:$Q$48,13,FALSE),0)</f>
        <v>0</v>
      </c>
      <c r="S15" s="48">
        <f>IF($AT$52&gt;2,HLOOKUP($AT$57,$B$3:$Q$48,13,FALSE),0)</f>
        <v>0</v>
      </c>
      <c r="T15" s="525">
        <f t="shared" si="19"/>
      </c>
      <c r="U15" s="526"/>
      <c r="V15" s="527">
        <f t="shared" si="20"/>
      </c>
      <c r="W15" s="527"/>
      <c r="X15" s="34">
        <f>IF(ISNUMBER(Y15),'Lizenz Nr.- Eingabe'!P43,"")</f>
      </c>
      <c r="Y15" s="35">
        <f>IF(OR('Lizenz Nr.- Eingabe'!S43="x",ISNUMBER('Lizenz Nr.- Eingabe'!S43)),'Lizenz Nr.- Eingabe'!S43,"")</f>
      </c>
      <c r="Z15" s="6">
        <f t="shared" si="21"/>
        <v>4</v>
      </c>
      <c r="AA15" s="49">
        <f t="shared" si="22"/>
      </c>
      <c r="AB15" s="50">
        <f t="shared" si="0"/>
      </c>
      <c r="AC15" s="6">
        <f t="shared" si="35"/>
        <v>4</v>
      </c>
      <c r="AD15" s="51">
        <f t="shared" si="1"/>
      </c>
      <c r="AE15" s="52">
        <f t="shared" si="2"/>
      </c>
      <c r="AF15" s="6">
        <f t="shared" si="23"/>
        <v>4</v>
      </c>
      <c r="AG15" s="49">
        <f t="shared" si="3"/>
      </c>
      <c r="AH15" s="50">
        <f t="shared" si="4"/>
      </c>
      <c r="AI15" s="6">
        <f t="shared" si="24"/>
        <v>4</v>
      </c>
      <c r="AJ15" s="51">
        <f t="shared" si="5"/>
      </c>
      <c r="AK15" s="52">
        <f t="shared" si="6"/>
      </c>
      <c r="AL15" s="6">
        <f t="shared" si="25"/>
        <v>4</v>
      </c>
      <c r="AM15" s="49">
        <f t="shared" si="7"/>
      </c>
      <c r="AN15" s="50">
        <f t="shared" si="8"/>
      </c>
      <c r="AO15" s="6">
        <f t="shared" si="26"/>
        <v>0</v>
      </c>
      <c r="AP15" s="51">
        <f t="shared" si="9"/>
      </c>
      <c r="AQ15" s="52">
        <f t="shared" si="10"/>
      </c>
      <c r="AR15" s="6">
        <f t="shared" si="27"/>
        <v>0</v>
      </c>
      <c r="AS15" s="49">
        <f t="shared" si="11"/>
      </c>
      <c r="AT15" s="50">
        <f t="shared" si="12"/>
      </c>
      <c r="AU15" s="6">
        <f t="shared" si="28"/>
        <v>0</v>
      </c>
      <c r="AV15" s="51">
        <f t="shared" si="13"/>
      </c>
      <c r="AW15" s="52">
        <f t="shared" si="14"/>
      </c>
      <c r="AX15" s="6">
        <f t="shared" si="29"/>
        <v>0</v>
      </c>
      <c r="AY15" s="49">
        <f t="shared" si="15"/>
      </c>
      <c r="AZ15" s="50">
        <f t="shared" si="16"/>
      </c>
      <c r="BA15" s="6">
        <f t="shared" si="30"/>
        <v>0</v>
      </c>
      <c r="BB15" s="51">
        <f t="shared" si="17"/>
      </c>
      <c r="BC15" s="53">
        <f t="shared" si="18"/>
      </c>
      <c r="BE15" s="27">
        <f>IF(AF48&gt;0,VLOOKUP(1,AF4:AH48,2,FALSE),"")</f>
        <v>0</v>
      </c>
      <c r="BF15" s="28">
        <f>IF(AF48&gt;0,VLOOKUP(1,AF4:AH48,3,FALSE),"")</f>
        <v>5</v>
      </c>
      <c r="BG15" s="27">
        <f>IF(ISNUMBER(BF15),IF(BE15=BF15,1,IF(BE15&gt;BF15,$BB$52,0)),"")</f>
        <v>0</v>
      </c>
      <c r="BH15" s="89">
        <f>IF(ISNUMBER(BF15),IF(BE15=BF15,1,IF(BE15&lt;BF15,$BB$52,0)),"")</f>
        <v>3</v>
      </c>
      <c r="BI15" s="17"/>
      <c r="BJ15" s="27">
        <f>IF(AI48&gt;0,VLOOKUP(1,AI4:AK48,2,FALSE),"")</f>
        <v>3</v>
      </c>
      <c r="BK15" s="28">
        <f>IF(AI48&gt;0,VLOOKUP(1,AI4:AK48,3,FALSE),"")</f>
        <v>1</v>
      </c>
      <c r="BL15" s="27">
        <f>IF(ISNUMBER(BK15),IF(BJ15=BK15,1,IF(BJ15&gt;BK15,$BB$52,0)),"")</f>
        <v>3</v>
      </c>
      <c r="BM15" s="89">
        <f>IF(ISNUMBER(BK15),IF(BJ15=BK15,1,IF(BJ15&lt;BK15,$BB$52,0)),"")</f>
        <v>0</v>
      </c>
    </row>
    <row r="16" spans="1:65" ht="9.75" customHeight="1">
      <c r="A16" s="3"/>
      <c r="B16" s="56"/>
      <c r="C16" s="56"/>
      <c r="D16" s="56"/>
      <c r="E16" s="56"/>
      <c r="F16" s="56"/>
      <c r="G16" s="56"/>
      <c r="H16" s="44">
        <v>5</v>
      </c>
      <c r="I16" s="45">
        <v>6</v>
      </c>
      <c r="J16" s="44">
        <v>1</v>
      </c>
      <c r="K16" s="45">
        <v>4</v>
      </c>
      <c r="L16" s="44">
        <v>3</v>
      </c>
      <c r="M16" s="45">
        <v>7</v>
      </c>
      <c r="N16" s="44">
        <v>2</v>
      </c>
      <c r="O16" s="45">
        <v>6</v>
      </c>
      <c r="P16" s="44">
        <v>4</v>
      </c>
      <c r="Q16" s="45">
        <v>7</v>
      </c>
      <c r="R16" s="47">
        <f>IF($AT$52&gt;2,HLOOKUP($AT$52,$B$3:$Q$48,14,FALSE),0)</f>
        <v>0</v>
      </c>
      <c r="S16" s="48">
        <f>IF($AT$52&gt;2,HLOOKUP($AT$57,$B$3:$Q$48,14,FALSE),0)</f>
        <v>0</v>
      </c>
      <c r="T16" s="525">
        <f t="shared" si="19"/>
      </c>
      <c r="U16" s="526"/>
      <c r="V16" s="527">
        <f t="shared" si="20"/>
      </c>
      <c r="W16" s="527"/>
      <c r="X16" s="34">
        <f>IF(ISNUMBER(Y16),'Lizenz Nr.- Eingabe'!P44,"")</f>
      </c>
      <c r="Y16" s="35">
        <f>IF(OR('Lizenz Nr.- Eingabe'!S44="x",ISNUMBER('Lizenz Nr.- Eingabe'!S44)),'Lizenz Nr.- Eingabe'!S44,"")</f>
      </c>
      <c r="Z16" s="6">
        <f t="shared" si="21"/>
        <v>4</v>
      </c>
      <c r="AA16" s="49">
        <f t="shared" si="22"/>
      </c>
      <c r="AB16" s="50">
        <f t="shared" si="0"/>
      </c>
      <c r="AC16" s="6">
        <f t="shared" si="35"/>
        <v>4</v>
      </c>
      <c r="AD16" s="51">
        <f t="shared" si="1"/>
      </c>
      <c r="AE16" s="52">
        <f t="shared" si="2"/>
      </c>
      <c r="AF16" s="6">
        <f t="shared" si="23"/>
        <v>4</v>
      </c>
      <c r="AG16" s="49">
        <f t="shared" si="3"/>
      </c>
      <c r="AH16" s="50">
        <f t="shared" si="4"/>
      </c>
      <c r="AI16" s="6">
        <f t="shared" si="24"/>
        <v>4</v>
      </c>
      <c r="AJ16" s="51">
        <f t="shared" si="5"/>
      </c>
      <c r="AK16" s="52">
        <f t="shared" si="6"/>
      </c>
      <c r="AL16" s="6">
        <f t="shared" si="25"/>
        <v>4</v>
      </c>
      <c r="AM16" s="49">
        <f t="shared" si="7"/>
      </c>
      <c r="AN16" s="50">
        <f t="shared" si="8"/>
      </c>
      <c r="AO16" s="6">
        <f t="shared" si="26"/>
        <v>0</v>
      </c>
      <c r="AP16" s="51">
        <f t="shared" si="9"/>
      </c>
      <c r="AQ16" s="52">
        <f t="shared" si="10"/>
      </c>
      <c r="AR16" s="6">
        <f t="shared" si="27"/>
        <v>0</v>
      </c>
      <c r="AS16" s="49">
        <f t="shared" si="11"/>
      </c>
      <c r="AT16" s="50">
        <f t="shared" si="12"/>
      </c>
      <c r="AU16" s="6">
        <f t="shared" si="28"/>
        <v>0</v>
      </c>
      <c r="AV16" s="51">
        <f t="shared" si="13"/>
      </c>
      <c r="AW16" s="52">
        <f t="shared" si="14"/>
      </c>
      <c r="AX16" s="6">
        <f t="shared" si="29"/>
        <v>0</v>
      </c>
      <c r="AY16" s="49">
        <f t="shared" si="15"/>
      </c>
      <c r="AZ16" s="50">
        <f t="shared" si="16"/>
      </c>
      <c r="BA16" s="6">
        <f t="shared" si="30"/>
        <v>0</v>
      </c>
      <c r="BB16" s="51">
        <f t="shared" si="17"/>
      </c>
      <c r="BC16" s="53">
        <f t="shared" si="18"/>
      </c>
      <c r="BE16" s="42">
        <f>IF(AF48&gt;1,VLOOKUP(2,AF4:AH48,2,FALSE),"")</f>
        <v>0</v>
      </c>
      <c r="BF16" s="43">
        <f>IF(AF48&gt;1,VLOOKUP(2,AF4:AH48,3,FALSE),"")</f>
        <v>5</v>
      </c>
      <c r="BG16" s="42">
        <f>IF(ISNUMBER(BF16),IF(BE16=BF16,1,IF(BE16&gt;BF16,$BB$52,0)),"")</f>
        <v>0</v>
      </c>
      <c r="BH16" s="62">
        <f>IF(ISNUMBER(BF16),IF(BE16=BF16,1,IF(BE16&lt;BF16,$BB$52,0)),"")</f>
        <v>3</v>
      </c>
      <c r="BI16" s="17"/>
      <c r="BJ16" s="42">
        <f>IF(AI48&gt;1,VLOOKUP(2,AI4:AK48,2,FALSE),"")</f>
        <v>0</v>
      </c>
      <c r="BK16" s="43">
        <f>IF(AI48&gt;1,VLOOKUP(2,AI4:AK48,3,FALSE),"")</f>
        <v>9</v>
      </c>
      <c r="BL16" s="42">
        <f>IF(ISNUMBER(BK16),IF(BJ16=BK16,1,IF(BJ16&gt;BK16,$BB$52,0)),"")</f>
        <v>0</v>
      </c>
      <c r="BM16" s="62">
        <f>IF(ISNUMBER(BK16),IF(BJ16=BK16,1,IF(BJ16&lt;BK16,$BB$52,0)),"")</f>
        <v>3</v>
      </c>
    </row>
    <row r="17" spans="1:65" ht="9.75" customHeight="1">
      <c r="A17" s="3"/>
      <c r="B17" s="56"/>
      <c r="C17" s="56"/>
      <c r="D17" s="56"/>
      <c r="E17" s="56"/>
      <c r="F17" s="56"/>
      <c r="G17" s="56"/>
      <c r="H17" s="44">
        <v>3</v>
      </c>
      <c r="I17" s="45">
        <v>4</v>
      </c>
      <c r="J17" s="44">
        <v>2</v>
      </c>
      <c r="K17" s="45">
        <v>3</v>
      </c>
      <c r="L17" s="44">
        <v>6</v>
      </c>
      <c r="M17" s="45">
        <v>8</v>
      </c>
      <c r="N17" s="44">
        <v>5</v>
      </c>
      <c r="O17" s="45">
        <v>9</v>
      </c>
      <c r="P17" s="44">
        <v>3</v>
      </c>
      <c r="Q17" s="45">
        <v>6</v>
      </c>
      <c r="R17" s="47">
        <f>IF($AT$52&gt;2,HLOOKUP($AT$52,$B$3:$Q$48,15,FALSE),0)</f>
        <v>0</v>
      </c>
      <c r="S17" s="48">
        <f>IF($AT$52&gt;2,HLOOKUP($AT$57,$B$3:$Q$48,15,FALSE),0)</f>
        <v>0</v>
      </c>
      <c r="T17" s="525">
        <f t="shared" si="19"/>
      </c>
      <c r="U17" s="526"/>
      <c r="V17" s="527">
        <f t="shared" si="20"/>
      </c>
      <c r="W17" s="527"/>
      <c r="X17" s="34">
        <f>IF(ISNUMBER(Y17),'Lizenz Nr.- Eingabe'!P45,"")</f>
      </c>
      <c r="Y17" s="35">
        <f>IF(OR('Lizenz Nr.- Eingabe'!S45="x",ISNUMBER('Lizenz Nr.- Eingabe'!S45)),'Lizenz Nr.- Eingabe'!S45,"")</f>
      </c>
      <c r="Z17" s="6">
        <f t="shared" si="21"/>
        <v>4</v>
      </c>
      <c r="AA17" s="49">
        <f t="shared" si="22"/>
      </c>
      <c r="AB17" s="50">
        <f t="shared" si="0"/>
      </c>
      <c r="AC17" s="6">
        <f t="shared" si="35"/>
        <v>4</v>
      </c>
      <c r="AD17" s="51">
        <f t="shared" si="1"/>
      </c>
      <c r="AE17" s="52">
        <f t="shared" si="2"/>
      </c>
      <c r="AF17" s="6">
        <f t="shared" si="23"/>
        <v>4</v>
      </c>
      <c r="AG17" s="49">
        <f t="shared" si="3"/>
      </c>
      <c r="AH17" s="50">
        <f t="shared" si="4"/>
      </c>
      <c r="AI17" s="6">
        <f t="shared" si="24"/>
        <v>4</v>
      </c>
      <c r="AJ17" s="51">
        <f t="shared" si="5"/>
      </c>
      <c r="AK17" s="52">
        <f t="shared" si="6"/>
      </c>
      <c r="AL17" s="6">
        <f t="shared" si="25"/>
        <v>4</v>
      </c>
      <c r="AM17" s="49">
        <f t="shared" si="7"/>
      </c>
      <c r="AN17" s="50">
        <f t="shared" si="8"/>
      </c>
      <c r="AO17" s="6">
        <f t="shared" si="26"/>
        <v>0</v>
      </c>
      <c r="AP17" s="51">
        <f t="shared" si="9"/>
      </c>
      <c r="AQ17" s="52">
        <f t="shared" si="10"/>
      </c>
      <c r="AR17" s="6">
        <f t="shared" si="27"/>
        <v>0</v>
      </c>
      <c r="AS17" s="49">
        <f t="shared" si="11"/>
      </c>
      <c r="AT17" s="50">
        <f t="shared" si="12"/>
      </c>
      <c r="AU17" s="6">
        <f t="shared" si="28"/>
        <v>0</v>
      </c>
      <c r="AV17" s="51">
        <f t="shared" si="13"/>
      </c>
      <c r="AW17" s="52">
        <f t="shared" si="14"/>
      </c>
      <c r="AX17" s="6">
        <f t="shared" si="29"/>
        <v>0</v>
      </c>
      <c r="AY17" s="49">
        <f t="shared" si="15"/>
      </c>
      <c r="AZ17" s="50">
        <f t="shared" si="16"/>
      </c>
      <c r="BA17" s="6">
        <f t="shared" si="30"/>
        <v>0</v>
      </c>
      <c r="BB17" s="51">
        <f t="shared" si="17"/>
      </c>
      <c r="BC17" s="53">
        <f t="shared" si="18"/>
      </c>
      <c r="BE17" s="42">
        <f>IF(AF48&gt;2,VLOOKUP(3,AF4:AH48,2,FALSE),"")</f>
        <v>0</v>
      </c>
      <c r="BF17" s="43">
        <f>IF(AF48&gt;2,VLOOKUP(3,AF4:AH48,3,FALSE),"")</f>
        <v>5</v>
      </c>
      <c r="BG17" s="42">
        <f aca="true" t="shared" si="36" ref="BG17:BG23">IF(ISNUMBER(BF17),IF(BE17=BF17,1,IF(BE17&gt;BF17,$BB$52,0)),"")</f>
        <v>0</v>
      </c>
      <c r="BH17" s="62">
        <f aca="true" t="shared" si="37" ref="BH17:BH22">IF(ISNUMBER(BF17),IF(BE17=BF17,1,IF(BE17&lt;BF17,$BB$52,0)),"")</f>
        <v>3</v>
      </c>
      <c r="BI17" s="17"/>
      <c r="BJ17" s="42">
        <f>IF(AI48&gt;2,VLOOKUP(3,AI4:AK48,2,FALSE),"")</f>
        <v>0</v>
      </c>
      <c r="BK17" s="43">
        <f>IF(AI48&gt;2,VLOOKUP(3,AI4:AK48,3,FALSE),"")</f>
        <v>3</v>
      </c>
      <c r="BL17" s="42">
        <f aca="true" t="shared" si="38" ref="BL17:BL23">IF(ISNUMBER(BK17),IF(BJ17=BK17,1,IF(BJ17&gt;BK17,$BB$52,0)),"")</f>
        <v>0</v>
      </c>
      <c r="BM17" s="62">
        <f aca="true" t="shared" si="39" ref="BM17:BM23">IF(ISNUMBER(BK17),IF(BJ17=BK17,1,IF(BJ17&lt;BK17,$BB$52,0)),"")</f>
        <v>3</v>
      </c>
    </row>
    <row r="18" spans="1:65" ht="9.75" customHeight="1" thickBot="1">
      <c r="A18" s="3"/>
      <c r="B18" s="56"/>
      <c r="C18" s="56"/>
      <c r="D18" s="56"/>
      <c r="E18" s="56"/>
      <c r="F18" s="56"/>
      <c r="G18" s="56"/>
      <c r="H18" s="54">
        <v>1</v>
      </c>
      <c r="I18" s="55">
        <v>2</v>
      </c>
      <c r="J18" s="44">
        <v>5</v>
      </c>
      <c r="K18" s="45">
        <v>7</v>
      </c>
      <c r="L18" s="44">
        <v>2</v>
      </c>
      <c r="M18" s="45">
        <v>4</v>
      </c>
      <c r="N18" s="44">
        <v>1</v>
      </c>
      <c r="O18" s="45">
        <v>3</v>
      </c>
      <c r="P18" s="44">
        <v>1</v>
      </c>
      <c r="Q18" s="46">
        <v>10</v>
      </c>
      <c r="R18" s="47">
        <f>IF($AT$52&gt;2,HLOOKUP($AT$52,$B$3:$Q$48,16,FALSE),0)</f>
        <v>0</v>
      </c>
      <c r="S18" s="48">
        <f>IF($AT$52&gt;2,HLOOKUP($AT$57,$B$3:$Q$48,16,FALSE),0)</f>
        <v>0</v>
      </c>
      <c r="T18" s="525">
        <f t="shared" si="19"/>
      </c>
      <c r="U18" s="526"/>
      <c r="V18" s="527">
        <f t="shared" si="20"/>
      </c>
      <c r="W18" s="527"/>
      <c r="X18" s="34">
        <f>IF(ISNUMBER(Y18),'Lizenz Nr.- Eingabe'!AG32,"")</f>
      </c>
      <c r="Y18" s="35">
        <f>IF(OR('Lizenz Nr.- Eingabe'!AJ32="x",ISNUMBER('Lizenz Nr.- Eingabe'!AJ32)),'Lizenz Nr.- Eingabe'!AJ32,"")</f>
      </c>
      <c r="Z18" s="6">
        <f t="shared" si="21"/>
        <v>4</v>
      </c>
      <c r="AA18" s="49">
        <f t="shared" si="22"/>
      </c>
      <c r="AB18" s="50">
        <f t="shared" si="0"/>
      </c>
      <c r="AC18" s="6">
        <f t="shared" si="35"/>
        <v>4</v>
      </c>
      <c r="AD18" s="51">
        <f t="shared" si="1"/>
      </c>
      <c r="AE18" s="52">
        <f t="shared" si="2"/>
      </c>
      <c r="AF18" s="6">
        <f t="shared" si="23"/>
        <v>4</v>
      </c>
      <c r="AG18" s="49">
        <f t="shared" si="3"/>
      </c>
      <c r="AH18" s="50">
        <f t="shared" si="4"/>
      </c>
      <c r="AI18" s="6">
        <f t="shared" si="24"/>
        <v>4</v>
      </c>
      <c r="AJ18" s="51">
        <f t="shared" si="5"/>
      </c>
      <c r="AK18" s="52">
        <f t="shared" si="6"/>
      </c>
      <c r="AL18" s="6">
        <f t="shared" si="25"/>
        <v>4</v>
      </c>
      <c r="AM18" s="49">
        <f t="shared" si="7"/>
      </c>
      <c r="AN18" s="50">
        <f t="shared" si="8"/>
      </c>
      <c r="AO18" s="6">
        <f t="shared" si="26"/>
        <v>0</v>
      </c>
      <c r="AP18" s="51">
        <f t="shared" si="9"/>
      </c>
      <c r="AQ18" s="52">
        <f t="shared" si="10"/>
      </c>
      <c r="AR18" s="6">
        <f t="shared" si="27"/>
        <v>0</v>
      </c>
      <c r="AS18" s="49">
        <f t="shared" si="11"/>
      </c>
      <c r="AT18" s="50">
        <f t="shared" si="12"/>
      </c>
      <c r="AU18" s="6">
        <f t="shared" si="28"/>
        <v>0</v>
      </c>
      <c r="AV18" s="51">
        <f t="shared" si="13"/>
      </c>
      <c r="AW18" s="52">
        <f t="shared" si="14"/>
      </c>
      <c r="AX18" s="6">
        <f t="shared" si="29"/>
        <v>0</v>
      </c>
      <c r="AY18" s="49">
        <f t="shared" si="15"/>
      </c>
      <c r="AZ18" s="50">
        <f t="shared" si="16"/>
      </c>
      <c r="BA18" s="6">
        <f t="shared" si="30"/>
        <v>0</v>
      </c>
      <c r="BB18" s="51">
        <f t="shared" si="17"/>
      </c>
      <c r="BC18" s="53">
        <f t="shared" si="18"/>
      </c>
      <c r="BE18" s="42">
        <f>IF(AF48&gt;3,VLOOKUP(4,AF4:AH48,2,FALSE),"")</f>
        <v>0</v>
      </c>
      <c r="BF18" s="43">
        <f>IF(AF48&gt;3,VLOOKUP(4,AF4:AH48,3,FALSE),"")</f>
        <v>5</v>
      </c>
      <c r="BG18" s="42">
        <f t="shared" si="36"/>
        <v>0</v>
      </c>
      <c r="BH18" s="62">
        <f t="shared" si="37"/>
        <v>3</v>
      </c>
      <c r="BI18" s="17"/>
      <c r="BJ18" s="42">
        <f>IF(AI48&gt;3,VLOOKUP(4,AI4:AK48,2,FALSE),"")</f>
        <v>5</v>
      </c>
      <c r="BK18" s="43">
        <f>IF(AI48&gt;3,VLOOKUP(4,AI4:AK48,3,FALSE),"")</f>
        <v>0</v>
      </c>
      <c r="BL18" s="42">
        <f t="shared" si="38"/>
        <v>3</v>
      </c>
      <c r="BM18" s="62">
        <f t="shared" si="39"/>
        <v>0</v>
      </c>
    </row>
    <row r="19" spans="1:65" ht="9.75" customHeight="1">
      <c r="A19" s="3"/>
      <c r="B19" s="56"/>
      <c r="C19" s="56"/>
      <c r="D19" s="56"/>
      <c r="E19" s="56"/>
      <c r="F19" s="56"/>
      <c r="G19" s="56"/>
      <c r="H19" s="56"/>
      <c r="I19" s="56"/>
      <c r="J19" s="44">
        <v>4</v>
      </c>
      <c r="K19" s="45">
        <v>6</v>
      </c>
      <c r="L19" s="44">
        <v>1</v>
      </c>
      <c r="M19" s="45">
        <v>5</v>
      </c>
      <c r="N19" s="44">
        <v>2</v>
      </c>
      <c r="O19" s="45">
        <v>8</v>
      </c>
      <c r="P19" s="44">
        <v>2</v>
      </c>
      <c r="Q19" s="45">
        <v>9</v>
      </c>
      <c r="R19" s="47">
        <f>IF($AT$52&gt;2,HLOOKUP($AT$52,$B$3:$Q$48,17,FALSE),0)</f>
        <v>0</v>
      </c>
      <c r="S19" s="48">
        <f>IF($AT$52&gt;2,HLOOKUP($AT$57,$B$3:$Q$48,17,FALSE),0)</f>
        <v>0</v>
      </c>
      <c r="T19" s="525">
        <f t="shared" si="19"/>
      </c>
      <c r="U19" s="526"/>
      <c r="V19" s="527">
        <f t="shared" si="20"/>
      </c>
      <c r="W19" s="527"/>
      <c r="X19" s="34">
        <f>IF(ISNUMBER(Y19),'Lizenz Nr.- Eingabe'!AG33,"")</f>
      </c>
      <c r="Y19" s="35">
        <f>IF(OR('Lizenz Nr.- Eingabe'!AJ33="x",ISNUMBER('Lizenz Nr.- Eingabe'!AJ33)),'Lizenz Nr.- Eingabe'!AJ33,"")</f>
      </c>
      <c r="Z19" s="6">
        <f t="shared" si="21"/>
        <v>4</v>
      </c>
      <c r="AA19" s="49">
        <f t="shared" si="22"/>
      </c>
      <c r="AB19" s="50">
        <f t="shared" si="0"/>
      </c>
      <c r="AC19" s="6">
        <f t="shared" si="35"/>
        <v>4</v>
      </c>
      <c r="AD19" s="51">
        <f t="shared" si="1"/>
      </c>
      <c r="AE19" s="52">
        <f t="shared" si="2"/>
      </c>
      <c r="AF19" s="6">
        <f t="shared" si="23"/>
        <v>4</v>
      </c>
      <c r="AG19" s="49">
        <f t="shared" si="3"/>
      </c>
      <c r="AH19" s="50">
        <f t="shared" si="4"/>
      </c>
      <c r="AI19" s="6">
        <f t="shared" si="24"/>
        <v>4</v>
      </c>
      <c r="AJ19" s="51">
        <f t="shared" si="5"/>
      </c>
      <c r="AK19" s="52">
        <f t="shared" si="6"/>
      </c>
      <c r="AL19" s="6">
        <f t="shared" si="25"/>
        <v>4</v>
      </c>
      <c r="AM19" s="49">
        <f t="shared" si="7"/>
      </c>
      <c r="AN19" s="50">
        <f t="shared" si="8"/>
      </c>
      <c r="AO19" s="6">
        <f t="shared" si="26"/>
        <v>0</v>
      </c>
      <c r="AP19" s="51">
        <f t="shared" si="9"/>
      </c>
      <c r="AQ19" s="52">
        <f t="shared" si="10"/>
      </c>
      <c r="AR19" s="6">
        <f t="shared" si="27"/>
        <v>0</v>
      </c>
      <c r="AS19" s="49">
        <f t="shared" si="11"/>
      </c>
      <c r="AT19" s="50">
        <f t="shared" si="12"/>
      </c>
      <c r="AU19" s="6">
        <f t="shared" si="28"/>
        <v>0</v>
      </c>
      <c r="AV19" s="51">
        <f t="shared" si="13"/>
      </c>
      <c r="AW19" s="52">
        <f t="shared" si="14"/>
      </c>
      <c r="AX19" s="6">
        <f t="shared" si="29"/>
        <v>0</v>
      </c>
      <c r="AY19" s="49">
        <f t="shared" si="15"/>
      </c>
      <c r="AZ19" s="50">
        <f t="shared" si="16"/>
      </c>
      <c r="BA19" s="6">
        <f t="shared" si="30"/>
        <v>0</v>
      </c>
      <c r="BB19" s="51">
        <f t="shared" si="17"/>
      </c>
      <c r="BC19" s="53">
        <f t="shared" si="18"/>
      </c>
      <c r="BE19" s="42">
        <f>IF(AF48&gt;4,VLOOKUP(5,AF4:AH48,2,FALSE),"")</f>
      </c>
      <c r="BF19" s="43">
        <f>IF(AF48&gt;4,VLOOKUP(5,AF4:AH48,3,FALSE),"")</f>
      </c>
      <c r="BG19" s="42">
        <f t="shared" si="36"/>
      </c>
      <c r="BH19" s="62">
        <f t="shared" si="37"/>
      </c>
      <c r="BI19" s="17"/>
      <c r="BJ19" s="42">
        <f>IF(AI48&gt;4,VLOOKUP(5,AI4:AK48,2,FALSE),"")</f>
      </c>
      <c r="BK19" s="43">
        <f>IF(AI48&gt;4,VLOOKUP(5,AI4:AK48,3,FALSE),"")</f>
      </c>
      <c r="BL19" s="42">
        <f t="shared" si="38"/>
      </c>
      <c r="BM19" s="62">
        <f t="shared" si="39"/>
      </c>
    </row>
    <row r="20" spans="1:65" ht="9.75" customHeight="1">
      <c r="A20" s="3"/>
      <c r="B20" s="56"/>
      <c r="C20" s="56"/>
      <c r="D20" s="56"/>
      <c r="E20" s="56"/>
      <c r="F20" s="56"/>
      <c r="G20" s="56"/>
      <c r="H20" s="56"/>
      <c r="I20" s="56"/>
      <c r="J20" s="44">
        <v>1</v>
      </c>
      <c r="K20" s="45">
        <v>3</v>
      </c>
      <c r="L20" s="44">
        <v>6</v>
      </c>
      <c r="M20" s="45">
        <v>7</v>
      </c>
      <c r="N20" s="44">
        <v>5</v>
      </c>
      <c r="O20" s="45">
        <v>7</v>
      </c>
      <c r="P20" s="44">
        <v>4</v>
      </c>
      <c r="Q20" s="45">
        <v>6</v>
      </c>
      <c r="R20" s="47">
        <f>IF($AT$52&gt;2,HLOOKUP($AT$52,$B$3:$Q$48,18,FALSE),0)</f>
        <v>0</v>
      </c>
      <c r="S20" s="48">
        <f>IF($AT$52&gt;2,HLOOKUP($AT$57,$B$3:$Q$48,18,FALSE),0)</f>
        <v>0</v>
      </c>
      <c r="T20" s="525">
        <f t="shared" si="19"/>
      </c>
      <c r="U20" s="526"/>
      <c r="V20" s="527">
        <f t="shared" si="20"/>
      </c>
      <c r="W20" s="527"/>
      <c r="X20" s="34">
        <f>IF(ISNUMBER(Y20),'Lizenz Nr.- Eingabe'!AG34,"")</f>
      </c>
      <c r="Y20" s="35">
        <f>IF(OR('Lizenz Nr.- Eingabe'!AJ34="x",ISNUMBER('Lizenz Nr.- Eingabe'!AJ34)),'Lizenz Nr.- Eingabe'!AJ34,"")</f>
      </c>
      <c r="Z20" s="6">
        <f t="shared" si="21"/>
        <v>4</v>
      </c>
      <c r="AA20" s="49">
        <f t="shared" si="22"/>
      </c>
      <c r="AB20" s="50">
        <f t="shared" si="0"/>
      </c>
      <c r="AC20" s="6">
        <f t="shared" si="35"/>
        <v>4</v>
      </c>
      <c r="AD20" s="51">
        <f t="shared" si="1"/>
      </c>
      <c r="AE20" s="52">
        <f t="shared" si="2"/>
      </c>
      <c r="AF20" s="6">
        <f t="shared" si="23"/>
        <v>4</v>
      </c>
      <c r="AG20" s="49">
        <f t="shared" si="3"/>
      </c>
      <c r="AH20" s="50">
        <f t="shared" si="4"/>
      </c>
      <c r="AI20" s="6">
        <f t="shared" si="24"/>
        <v>4</v>
      </c>
      <c r="AJ20" s="51">
        <f t="shared" si="5"/>
      </c>
      <c r="AK20" s="52">
        <f t="shared" si="6"/>
      </c>
      <c r="AL20" s="6">
        <f t="shared" si="25"/>
        <v>4</v>
      </c>
      <c r="AM20" s="49">
        <f t="shared" si="7"/>
      </c>
      <c r="AN20" s="50">
        <f t="shared" si="8"/>
      </c>
      <c r="AO20" s="6">
        <f t="shared" si="26"/>
        <v>0</v>
      </c>
      <c r="AP20" s="51">
        <f t="shared" si="9"/>
      </c>
      <c r="AQ20" s="52">
        <f t="shared" si="10"/>
      </c>
      <c r="AR20" s="6">
        <f t="shared" si="27"/>
        <v>0</v>
      </c>
      <c r="AS20" s="49">
        <f t="shared" si="11"/>
      </c>
      <c r="AT20" s="50">
        <f t="shared" si="12"/>
      </c>
      <c r="AU20" s="6">
        <f t="shared" si="28"/>
        <v>0</v>
      </c>
      <c r="AV20" s="51">
        <f t="shared" si="13"/>
      </c>
      <c r="AW20" s="52">
        <f t="shared" si="14"/>
      </c>
      <c r="AX20" s="6">
        <f t="shared" si="29"/>
        <v>0</v>
      </c>
      <c r="AY20" s="49">
        <f t="shared" si="15"/>
      </c>
      <c r="AZ20" s="50">
        <f t="shared" si="16"/>
      </c>
      <c r="BA20" s="6">
        <f t="shared" si="30"/>
        <v>0</v>
      </c>
      <c r="BB20" s="51">
        <f t="shared" si="17"/>
      </c>
      <c r="BC20" s="53">
        <f t="shared" si="18"/>
      </c>
      <c r="BE20" s="42">
        <f>IF(AF48&gt;5,VLOOKUP(6,AF4:AH48,2,FALSE),"")</f>
      </c>
      <c r="BF20" s="43">
        <f>IF(AF48&gt;5,VLOOKUP(6,AF4:AH48,3,FALSE),"")</f>
      </c>
      <c r="BG20" s="42">
        <f t="shared" si="36"/>
      </c>
      <c r="BH20" s="62">
        <f t="shared" si="37"/>
      </c>
      <c r="BI20" s="17"/>
      <c r="BJ20" s="42">
        <f>IF(AI48&gt;5,VLOOKUP(6,AI4:AK48,2,FALSE),"")</f>
      </c>
      <c r="BK20" s="43">
        <f>IF(AI48&gt;5,VLOOKUP(6,AI4:AK48,3,FALSE),"")</f>
      </c>
      <c r="BL20" s="42">
        <f t="shared" si="38"/>
      </c>
      <c r="BM20" s="62">
        <f t="shared" si="39"/>
      </c>
    </row>
    <row r="21" spans="1:65" ht="9.75" customHeight="1">
      <c r="A21" s="3"/>
      <c r="B21" s="56"/>
      <c r="C21" s="21"/>
      <c r="D21" s="21"/>
      <c r="E21" s="21"/>
      <c r="F21" s="21"/>
      <c r="G21" s="21"/>
      <c r="H21" s="21"/>
      <c r="I21" s="56"/>
      <c r="J21" s="44">
        <v>2</v>
      </c>
      <c r="K21" s="45">
        <v>7</v>
      </c>
      <c r="L21" s="44">
        <v>2</v>
      </c>
      <c r="M21" s="45">
        <v>3</v>
      </c>
      <c r="N21" s="44">
        <v>4</v>
      </c>
      <c r="O21" s="45">
        <v>6</v>
      </c>
      <c r="P21" s="44">
        <v>1</v>
      </c>
      <c r="Q21" s="45">
        <v>7</v>
      </c>
      <c r="R21" s="47">
        <f>IF($AT$52&gt;2,HLOOKUP($AT$52,$B$3:$Q$48,19,FALSE),0)</f>
        <v>0</v>
      </c>
      <c r="S21" s="48">
        <f>IF($AT$52&gt;2,HLOOKUP($AT$57,$B$3:$Q$48,19,FALSE),0)</f>
        <v>0</v>
      </c>
      <c r="T21" s="525">
        <f t="shared" si="19"/>
      </c>
      <c r="U21" s="526"/>
      <c r="V21" s="527">
        <f t="shared" si="20"/>
      </c>
      <c r="W21" s="527"/>
      <c r="X21" s="34">
        <f>IF(ISNUMBER(Y21),'Lizenz Nr.- Eingabe'!AG35,"")</f>
      </c>
      <c r="Y21" s="35">
        <f>IF(OR('Lizenz Nr.- Eingabe'!AJ35="x",ISNUMBER('Lizenz Nr.- Eingabe'!AJ35)),'Lizenz Nr.- Eingabe'!AJ35,"")</f>
      </c>
      <c r="Z21" s="6">
        <f t="shared" si="21"/>
        <v>4</v>
      </c>
      <c r="AA21" s="49">
        <f t="shared" si="22"/>
      </c>
      <c r="AB21" s="50">
        <f t="shared" si="0"/>
      </c>
      <c r="AC21" s="6">
        <f t="shared" si="35"/>
        <v>4</v>
      </c>
      <c r="AD21" s="51">
        <f t="shared" si="1"/>
      </c>
      <c r="AE21" s="52">
        <f t="shared" si="2"/>
      </c>
      <c r="AF21" s="6">
        <f t="shared" si="23"/>
        <v>4</v>
      </c>
      <c r="AG21" s="49">
        <f t="shared" si="3"/>
      </c>
      <c r="AH21" s="50">
        <f t="shared" si="4"/>
      </c>
      <c r="AI21" s="6">
        <f t="shared" si="24"/>
        <v>4</v>
      </c>
      <c r="AJ21" s="51">
        <f t="shared" si="5"/>
      </c>
      <c r="AK21" s="52">
        <f t="shared" si="6"/>
      </c>
      <c r="AL21" s="6">
        <f t="shared" si="25"/>
        <v>4</v>
      </c>
      <c r="AM21" s="49">
        <f t="shared" si="7"/>
      </c>
      <c r="AN21" s="50">
        <f t="shared" si="8"/>
      </c>
      <c r="AO21" s="6">
        <f t="shared" si="26"/>
        <v>0</v>
      </c>
      <c r="AP21" s="51">
        <f t="shared" si="9"/>
      </c>
      <c r="AQ21" s="52">
        <f t="shared" si="10"/>
      </c>
      <c r="AR21" s="6">
        <f t="shared" si="27"/>
        <v>0</v>
      </c>
      <c r="AS21" s="49">
        <f t="shared" si="11"/>
      </c>
      <c r="AT21" s="50">
        <f t="shared" si="12"/>
      </c>
      <c r="AU21" s="6">
        <f t="shared" si="28"/>
        <v>0</v>
      </c>
      <c r="AV21" s="51">
        <f t="shared" si="13"/>
      </c>
      <c r="AW21" s="52">
        <f t="shared" si="14"/>
      </c>
      <c r="AX21" s="6">
        <f t="shared" si="29"/>
        <v>0</v>
      </c>
      <c r="AY21" s="49">
        <f t="shared" si="15"/>
      </c>
      <c r="AZ21" s="50">
        <f t="shared" si="16"/>
      </c>
      <c r="BA21" s="6">
        <f t="shared" si="30"/>
        <v>0</v>
      </c>
      <c r="BB21" s="51">
        <f t="shared" si="17"/>
      </c>
      <c r="BC21" s="53">
        <f t="shared" si="18"/>
      </c>
      <c r="BE21" s="42">
        <f>IF(AF48&gt;6,VLOOKUP(7,AF4:AH48,2,FALSE),"")</f>
      </c>
      <c r="BF21" s="43">
        <f>IF(AF48&gt;6,VLOOKUP(7,AF4:AH48,3,FALSE),"")</f>
      </c>
      <c r="BG21" s="42">
        <f t="shared" si="36"/>
      </c>
      <c r="BH21" s="62">
        <f t="shared" si="37"/>
      </c>
      <c r="BI21" s="17"/>
      <c r="BJ21" s="42">
        <f>IF(AI48&gt;6,VLOOKUP(7,AI4:AK48,2,FALSE),"")</f>
      </c>
      <c r="BK21" s="43">
        <f>IF(AI48&gt;6,VLOOKUP(7,AI4:AK48,3,FALSE),"")</f>
      </c>
      <c r="BL21" s="42">
        <f t="shared" si="38"/>
      </c>
      <c r="BM21" s="62">
        <f t="shared" si="39"/>
      </c>
    </row>
    <row r="22" spans="1:65" ht="9.75" customHeight="1">
      <c r="A22" s="3"/>
      <c r="B22" s="56"/>
      <c r="C22" s="21"/>
      <c r="D22" s="21"/>
      <c r="E22" s="21"/>
      <c r="F22" s="21"/>
      <c r="G22" s="21"/>
      <c r="H22" s="21"/>
      <c r="I22" s="56"/>
      <c r="J22" s="44">
        <v>4</v>
      </c>
      <c r="K22" s="45">
        <v>5</v>
      </c>
      <c r="L22" s="44">
        <v>1</v>
      </c>
      <c r="M22" s="45">
        <v>4</v>
      </c>
      <c r="N22" s="44">
        <v>8</v>
      </c>
      <c r="O22" s="45">
        <v>9</v>
      </c>
      <c r="P22" s="44">
        <v>5</v>
      </c>
      <c r="Q22" s="45">
        <v>8</v>
      </c>
      <c r="R22" s="47">
        <f>IF($AT$52&gt;2,HLOOKUP($AT$52,$B$3:$Q$48,20,FALSE),0)</f>
        <v>0</v>
      </c>
      <c r="S22" s="48">
        <f>IF($AT$52&gt;2,HLOOKUP($AT$57,$B$3:$Q$48,20,FALSE),0)</f>
        <v>0</v>
      </c>
      <c r="T22" s="525">
        <f t="shared" si="19"/>
      </c>
      <c r="U22" s="526"/>
      <c r="V22" s="527">
        <f t="shared" si="20"/>
      </c>
      <c r="W22" s="527"/>
      <c r="X22" s="34">
        <f>IF(ISNUMBER(Y22),'Lizenz Nr.- Eingabe'!AG36,"")</f>
      </c>
      <c r="Y22" s="35">
        <f>IF(OR('Lizenz Nr.- Eingabe'!AJ36="x",ISNUMBER('Lizenz Nr.- Eingabe'!AJ36)),'Lizenz Nr.- Eingabe'!AJ36,"")</f>
      </c>
      <c r="Z22" s="6">
        <f t="shared" si="21"/>
        <v>4</v>
      </c>
      <c r="AA22" s="49">
        <f t="shared" si="22"/>
      </c>
      <c r="AB22" s="50">
        <f t="shared" si="0"/>
      </c>
      <c r="AC22" s="6">
        <f t="shared" si="35"/>
        <v>4</v>
      </c>
      <c r="AD22" s="51">
        <f t="shared" si="1"/>
      </c>
      <c r="AE22" s="52">
        <f t="shared" si="2"/>
      </c>
      <c r="AF22" s="6">
        <f t="shared" si="23"/>
        <v>4</v>
      </c>
      <c r="AG22" s="49">
        <f t="shared" si="3"/>
      </c>
      <c r="AH22" s="50">
        <f t="shared" si="4"/>
      </c>
      <c r="AI22" s="6">
        <f t="shared" si="24"/>
        <v>4</v>
      </c>
      <c r="AJ22" s="51">
        <f t="shared" si="5"/>
      </c>
      <c r="AK22" s="52">
        <f t="shared" si="6"/>
      </c>
      <c r="AL22" s="6">
        <f t="shared" si="25"/>
        <v>4</v>
      </c>
      <c r="AM22" s="49">
        <f t="shared" si="7"/>
      </c>
      <c r="AN22" s="50">
        <f t="shared" si="8"/>
      </c>
      <c r="AO22" s="6">
        <f t="shared" si="26"/>
        <v>0</v>
      </c>
      <c r="AP22" s="51">
        <f t="shared" si="9"/>
      </c>
      <c r="AQ22" s="52">
        <f t="shared" si="10"/>
      </c>
      <c r="AR22" s="6">
        <f t="shared" si="27"/>
        <v>0</v>
      </c>
      <c r="AS22" s="49">
        <f t="shared" si="11"/>
      </c>
      <c r="AT22" s="50">
        <f t="shared" si="12"/>
      </c>
      <c r="AU22" s="6">
        <f t="shared" si="28"/>
        <v>0</v>
      </c>
      <c r="AV22" s="51">
        <f t="shared" si="13"/>
      </c>
      <c r="AW22" s="52">
        <f t="shared" si="14"/>
      </c>
      <c r="AX22" s="6">
        <f t="shared" si="29"/>
        <v>0</v>
      </c>
      <c r="AY22" s="49">
        <f t="shared" si="15"/>
      </c>
      <c r="AZ22" s="50">
        <f t="shared" si="16"/>
      </c>
      <c r="BA22" s="6">
        <f t="shared" si="30"/>
        <v>0</v>
      </c>
      <c r="BB22" s="51">
        <f t="shared" si="17"/>
      </c>
      <c r="BC22" s="53">
        <f t="shared" si="18"/>
      </c>
      <c r="BE22" s="42">
        <f>IF(AF48&gt;7,VLOOKUP(8,AF4:AH48,2,FALSE),"")</f>
      </c>
      <c r="BF22" s="43">
        <f>IF(AF48&gt;7,VLOOKUP(8,AF4:AH48,3,FALSE),"")</f>
      </c>
      <c r="BG22" s="42">
        <f t="shared" si="36"/>
      </c>
      <c r="BH22" s="62">
        <f t="shared" si="37"/>
      </c>
      <c r="BI22" s="17"/>
      <c r="BJ22" s="42">
        <f>IF(AI48&gt;7,VLOOKUP(8,AI4:AK48,2,FALSE),"")</f>
      </c>
      <c r="BK22" s="43">
        <f>IF(AI48&gt;7,VLOOKUP(8,AI4:AK48,3,FALSE),"")</f>
      </c>
      <c r="BL22" s="42">
        <f t="shared" si="38"/>
      </c>
      <c r="BM22" s="62">
        <f t="shared" si="39"/>
      </c>
    </row>
    <row r="23" spans="1:65" ht="9.75" customHeight="1" thickBot="1">
      <c r="A23" s="3"/>
      <c r="B23" s="56"/>
      <c r="C23" s="21"/>
      <c r="D23" s="21"/>
      <c r="E23" s="21"/>
      <c r="F23" s="21"/>
      <c r="G23" s="21"/>
      <c r="H23" s="21"/>
      <c r="I23" s="56"/>
      <c r="J23" s="44">
        <v>3</v>
      </c>
      <c r="K23" s="45">
        <v>6</v>
      </c>
      <c r="L23" s="44">
        <v>5</v>
      </c>
      <c r="M23" s="45">
        <v>8</v>
      </c>
      <c r="N23" s="44">
        <v>2</v>
      </c>
      <c r="O23" s="45">
        <v>5</v>
      </c>
      <c r="P23" s="44">
        <v>3</v>
      </c>
      <c r="Q23" s="46">
        <v>10</v>
      </c>
      <c r="R23" s="47">
        <f>IF($AT$52&gt;2,HLOOKUP($AT$52,$B$3:$Q$48,21,FALSE),0)</f>
        <v>0</v>
      </c>
      <c r="S23" s="48">
        <f>IF($AT$52&gt;2,HLOOKUP($AT$57,$B$3:$Q$48,21,FALSE),0)</f>
        <v>0</v>
      </c>
      <c r="T23" s="525">
        <f t="shared" si="19"/>
      </c>
      <c r="U23" s="526"/>
      <c r="V23" s="527">
        <f t="shared" si="20"/>
      </c>
      <c r="W23" s="527"/>
      <c r="X23" s="34">
        <f>IF(ISNUMBER(Y23),'Lizenz Nr.- Eingabe'!AG37,"")</f>
      </c>
      <c r="Y23" s="35">
        <f>IF(OR('Lizenz Nr.- Eingabe'!AJ37="x",ISNUMBER('Lizenz Nr.- Eingabe'!AJ37)),'Lizenz Nr.- Eingabe'!AJ37,"")</f>
      </c>
      <c r="Z23" s="6">
        <f t="shared" si="21"/>
        <v>4</v>
      </c>
      <c r="AA23" s="49">
        <f t="shared" si="22"/>
      </c>
      <c r="AB23" s="50">
        <f t="shared" si="0"/>
      </c>
      <c r="AC23" s="6">
        <f t="shared" si="35"/>
        <v>4</v>
      </c>
      <c r="AD23" s="51">
        <f t="shared" si="1"/>
      </c>
      <c r="AE23" s="52">
        <f t="shared" si="2"/>
      </c>
      <c r="AF23" s="6">
        <f t="shared" si="23"/>
        <v>4</v>
      </c>
      <c r="AG23" s="49">
        <f t="shared" si="3"/>
      </c>
      <c r="AH23" s="50">
        <f t="shared" si="4"/>
      </c>
      <c r="AI23" s="6">
        <f t="shared" si="24"/>
        <v>4</v>
      </c>
      <c r="AJ23" s="51">
        <f t="shared" si="5"/>
      </c>
      <c r="AK23" s="52">
        <f t="shared" si="6"/>
      </c>
      <c r="AL23" s="6">
        <f t="shared" si="25"/>
        <v>4</v>
      </c>
      <c r="AM23" s="49">
        <f t="shared" si="7"/>
      </c>
      <c r="AN23" s="50">
        <f t="shared" si="8"/>
      </c>
      <c r="AO23" s="6">
        <f t="shared" si="26"/>
        <v>0</v>
      </c>
      <c r="AP23" s="51">
        <f t="shared" si="9"/>
      </c>
      <c r="AQ23" s="52">
        <f t="shared" si="10"/>
      </c>
      <c r="AR23" s="6">
        <f t="shared" si="27"/>
        <v>0</v>
      </c>
      <c r="AS23" s="49">
        <f t="shared" si="11"/>
      </c>
      <c r="AT23" s="50">
        <f t="shared" si="12"/>
      </c>
      <c r="AU23" s="6">
        <f t="shared" si="28"/>
        <v>0</v>
      </c>
      <c r="AV23" s="51">
        <f t="shared" si="13"/>
      </c>
      <c r="AW23" s="52">
        <f t="shared" si="14"/>
      </c>
      <c r="AX23" s="6">
        <f t="shared" si="29"/>
        <v>0</v>
      </c>
      <c r="AY23" s="49">
        <f t="shared" si="15"/>
      </c>
      <c r="AZ23" s="50">
        <f t="shared" si="16"/>
      </c>
      <c r="BA23" s="6">
        <f t="shared" si="30"/>
        <v>0</v>
      </c>
      <c r="BB23" s="51">
        <f t="shared" si="17"/>
      </c>
      <c r="BC23" s="53">
        <f t="shared" si="18"/>
      </c>
      <c r="BE23" s="57">
        <f>IF(AF48&gt;8,VLOOKUP(9,AF4:AH48,2,FALSE),"")</f>
      </c>
      <c r="BF23" s="58">
        <f>IF(AF48&gt;8,VLOOKUP(9,AF4:AH48,3,FALSE),"")</f>
      </c>
      <c r="BG23" s="42">
        <f t="shared" si="36"/>
      </c>
      <c r="BH23" s="62">
        <f>IF(ISNUMBER(BF23),IF(BE23=BF23,1,IF(BE23&lt;BF23,$BB$52,0)),"")</f>
      </c>
      <c r="BI23" s="17"/>
      <c r="BJ23" s="57">
        <f>IF(AI48&gt;8,VLOOKUP(9,AI4:AK48,2,FALSE),"")</f>
      </c>
      <c r="BK23" s="58">
        <f>IF(AI48&gt;8,VLOOKUP(9,AI4:AK48,3,FALSE),"")</f>
      </c>
      <c r="BL23" s="42">
        <f t="shared" si="38"/>
      </c>
      <c r="BM23" s="62">
        <f t="shared" si="39"/>
      </c>
    </row>
    <row r="24" spans="1:65" ht="9.75" customHeight="1" thickBot="1">
      <c r="A24" s="3"/>
      <c r="B24" s="56"/>
      <c r="C24" s="56"/>
      <c r="D24" s="56"/>
      <c r="E24" s="56"/>
      <c r="F24" s="56"/>
      <c r="G24" s="56"/>
      <c r="H24" s="56"/>
      <c r="I24" s="56"/>
      <c r="J24" s="54">
        <v>1</v>
      </c>
      <c r="K24" s="55">
        <v>2</v>
      </c>
      <c r="L24" s="44">
        <v>4</v>
      </c>
      <c r="M24" s="45">
        <v>6</v>
      </c>
      <c r="N24" s="44">
        <v>1</v>
      </c>
      <c r="O24" s="45">
        <v>4</v>
      </c>
      <c r="P24" s="44">
        <v>6</v>
      </c>
      <c r="Q24" s="45">
        <v>9</v>
      </c>
      <c r="R24" s="47">
        <f>IF($AT$52&gt;2,HLOOKUP($AT$52,$B$3:$Q$48,22,FALSE),0)</f>
        <v>0</v>
      </c>
      <c r="S24" s="48">
        <f>IF($AT$52&gt;2,HLOOKUP($AT$57,$B$3:$Q$48,22,FALSE),0)</f>
        <v>0</v>
      </c>
      <c r="T24" s="525">
        <f t="shared" si="19"/>
      </c>
      <c r="U24" s="526"/>
      <c r="V24" s="527">
        <f t="shared" si="20"/>
      </c>
      <c r="W24" s="527"/>
      <c r="X24" s="34">
        <f>IF(ISNUMBER(Y24),'Lizenz Nr.- Eingabe'!AG38,"")</f>
      </c>
      <c r="Y24" s="35">
        <f>IF(OR('Lizenz Nr.- Eingabe'!AJ38="x",ISNUMBER('Lizenz Nr.- Eingabe'!AJ38)),'Lizenz Nr.- Eingabe'!AJ38,"")</f>
      </c>
      <c r="Z24" s="6">
        <f t="shared" si="21"/>
        <v>4</v>
      </c>
      <c r="AA24" s="49">
        <f t="shared" si="22"/>
      </c>
      <c r="AB24" s="50">
        <f t="shared" si="0"/>
      </c>
      <c r="AC24" s="6">
        <f t="shared" si="35"/>
        <v>4</v>
      </c>
      <c r="AD24" s="51">
        <f t="shared" si="1"/>
      </c>
      <c r="AE24" s="52">
        <f t="shared" si="2"/>
      </c>
      <c r="AF24" s="6">
        <f t="shared" si="23"/>
        <v>4</v>
      </c>
      <c r="AG24" s="49">
        <f t="shared" si="3"/>
      </c>
      <c r="AH24" s="50">
        <f t="shared" si="4"/>
      </c>
      <c r="AI24" s="6">
        <f t="shared" si="24"/>
        <v>4</v>
      </c>
      <c r="AJ24" s="51">
        <f t="shared" si="5"/>
      </c>
      <c r="AK24" s="52">
        <f t="shared" si="6"/>
      </c>
      <c r="AL24" s="6">
        <f t="shared" si="25"/>
        <v>4</v>
      </c>
      <c r="AM24" s="49">
        <f t="shared" si="7"/>
      </c>
      <c r="AN24" s="50">
        <f t="shared" si="8"/>
      </c>
      <c r="AO24" s="6">
        <f t="shared" si="26"/>
        <v>0</v>
      </c>
      <c r="AP24" s="51">
        <f t="shared" si="9"/>
      </c>
      <c r="AQ24" s="52">
        <f t="shared" si="10"/>
      </c>
      <c r="AR24" s="6">
        <f t="shared" si="27"/>
        <v>0</v>
      </c>
      <c r="AS24" s="49">
        <f t="shared" si="11"/>
      </c>
      <c r="AT24" s="50">
        <f t="shared" si="12"/>
      </c>
      <c r="AU24" s="6">
        <f t="shared" si="28"/>
        <v>0</v>
      </c>
      <c r="AV24" s="51">
        <f t="shared" si="13"/>
      </c>
      <c r="AW24" s="52">
        <f t="shared" si="14"/>
      </c>
      <c r="AX24" s="6">
        <f t="shared" si="29"/>
        <v>0</v>
      </c>
      <c r="AY24" s="49">
        <f t="shared" si="15"/>
      </c>
      <c r="AZ24" s="50">
        <f t="shared" si="16"/>
      </c>
      <c r="BA24" s="6">
        <f t="shared" si="30"/>
        <v>0</v>
      </c>
      <c r="BB24" s="51">
        <f t="shared" si="17"/>
      </c>
      <c r="BC24" s="53">
        <f t="shared" si="18"/>
      </c>
      <c r="BE24" s="18">
        <f>IF(ISNUMBER(BE15),SUM(BE15:BE23),"")</f>
        <v>0</v>
      </c>
      <c r="BF24" s="19">
        <f>IF(ISNUMBER(BF15),SUM(BF15:BF23),"")</f>
        <v>20</v>
      </c>
      <c r="BG24" s="18">
        <f>IF(ISNUMBER(BG15),SUM(BG15:BG23),"")</f>
        <v>0</v>
      </c>
      <c r="BH24" s="20">
        <f>IF(ISNUMBER(BH15),SUM(BH15:BH23),"")</f>
        <v>12</v>
      </c>
      <c r="BI24" s="21"/>
      <c r="BJ24" s="18">
        <f>IF(ISNUMBER(BJ15),SUM(BJ15:BJ23),"")</f>
        <v>8</v>
      </c>
      <c r="BK24" s="19">
        <f>IF(ISNUMBER(BK15),SUM(BK15:BK23),"")</f>
        <v>13</v>
      </c>
      <c r="BL24" s="18">
        <f>IF(ISNUMBER(BL15),SUM(BL15:BL23),"")</f>
        <v>6</v>
      </c>
      <c r="BM24" s="20">
        <f>IF(ISNUMBER(BM15),SUM(BM15:BM23),"")</f>
        <v>6</v>
      </c>
    </row>
    <row r="25" spans="1:65" ht="9.75" customHeight="1" thickBo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4">
        <v>5</v>
      </c>
      <c r="M25" s="45">
        <v>7</v>
      </c>
      <c r="N25" s="44">
        <v>6</v>
      </c>
      <c r="O25" s="45">
        <v>7</v>
      </c>
      <c r="P25" s="44">
        <v>5</v>
      </c>
      <c r="Q25" s="45">
        <v>7</v>
      </c>
      <c r="R25" s="47">
        <f>IF($AT$52&gt;2,HLOOKUP($AT$52,$B$3:$Q$48,23,FALSE),0)</f>
        <v>0</v>
      </c>
      <c r="S25" s="48">
        <f>IF($AT$52&gt;2,HLOOKUP($AT$57,$B$3:$Q$48,23,FALSE),0)</f>
        <v>0</v>
      </c>
      <c r="T25" s="525">
        <f t="shared" si="19"/>
      </c>
      <c r="U25" s="526"/>
      <c r="V25" s="527">
        <f t="shared" si="20"/>
      </c>
      <c r="W25" s="527"/>
      <c r="X25" s="34">
        <f>IF(ISNUMBER(Y25),'Lizenz Nr.- Eingabe'!AG39,"")</f>
      </c>
      <c r="Y25" s="35">
        <f>IF(OR('Lizenz Nr.- Eingabe'!AJ39="x",ISNUMBER('Lizenz Nr.- Eingabe'!AJ39)),'Lizenz Nr.- Eingabe'!AJ39,"")</f>
      </c>
      <c r="Z25" s="6">
        <f t="shared" si="21"/>
        <v>4</v>
      </c>
      <c r="AA25" s="49">
        <f t="shared" si="22"/>
      </c>
      <c r="AB25" s="50">
        <f t="shared" si="0"/>
      </c>
      <c r="AC25" s="6">
        <f t="shared" si="35"/>
        <v>4</v>
      </c>
      <c r="AD25" s="51">
        <f t="shared" si="1"/>
      </c>
      <c r="AE25" s="52">
        <f t="shared" si="2"/>
      </c>
      <c r="AF25" s="6">
        <f t="shared" si="23"/>
        <v>4</v>
      </c>
      <c r="AG25" s="49">
        <f t="shared" si="3"/>
      </c>
      <c r="AH25" s="50">
        <f t="shared" si="4"/>
      </c>
      <c r="AI25" s="6">
        <f t="shared" si="24"/>
        <v>4</v>
      </c>
      <c r="AJ25" s="51">
        <f t="shared" si="5"/>
      </c>
      <c r="AK25" s="52">
        <f t="shared" si="6"/>
      </c>
      <c r="AL25" s="6">
        <f t="shared" si="25"/>
        <v>4</v>
      </c>
      <c r="AM25" s="49">
        <f t="shared" si="7"/>
      </c>
      <c r="AN25" s="50">
        <f t="shared" si="8"/>
      </c>
      <c r="AO25" s="6">
        <f t="shared" si="26"/>
        <v>0</v>
      </c>
      <c r="AP25" s="51">
        <f t="shared" si="9"/>
      </c>
      <c r="AQ25" s="52">
        <f t="shared" si="10"/>
      </c>
      <c r="AR25" s="6">
        <f t="shared" si="27"/>
        <v>0</v>
      </c>
      <c r="AS25" s="49">
        <f t="shared" si="11"/>
      </c>
      <c r="AT25" s="50">
        <f t="shared" si="12"/>
      </c>
      <c r="AU25" s="6">
        <f t="shared" si="28"/>
        <v>0</v>
      </c>
      <c r="AV25" s="51">
        <f t="shared" si="13"/>
      </c>
      <c r="AW25" s="52">
        <f t="shared" si="14"/>
      </c>
      <c r="AX25" s="6">
        <f t="shared" si="29"/>
        <v>0</v>
      </c>
      <c r="AY25" s="49">
        <f t="shared" si="15"/>
      </c>
      <c r="AZ25" s="50">
        <f t="shared" si="16"/>
      </c>
      <c r="BA25" s="6">
        <f t="shared" si="30"/>
        <v>0</v>
      </c>
      <c r="BB25" s="51">
        <f t="shared" si="17"/>
      </c>
      <c r="BC25" s="53">
        <f t="shared" si="18"/>
      </c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9.75" customHeight="1" thickBot="1">
      <c r="A26" s="3"/>
      <c r="B26" s="56"/>
      <c r="C26" s="56"/>
      <c r="D26" s="60"/>
      <c r="E26" s="60"/>
      <c r="F26" s="60"/>
      <c r="G26" s="60"/>
      <c r="H26" s="60"/>
      <c r="I26" s="60"/>
      <c r="J26" s="56"/>
      <c r="K26" s="56"/>
      <c r="L26" s="44">
        <v>2</v>
      </c>
      <c r="M26" s="45">
        <v>8</v>
      </c>
      <c r="N26" s="44">
        <v>2</v>
      </c>
      <c r="O26" s="45">
        <v>3</v>
      </c>
      <c r="P26" s="44">
        <v>8</v>
      </c>
      <c r="Q26" s="46">
        <v>10</v>
      </c>
      <c r="R26" s="47">
        <f>IF($AT$52&gt;2,HLOOKUP($AT$52,$B$3:$Q$48,24,FALSE),0)</f>
        <v>0</v>
      </c>
      <c r="S26" s="48">
        <f>IF($AT$52&gt;2,HLOOKUP($AT$57,$B$3:$Q$48,24,FALSE),0)</f>
        <v>0</v>
      </c>
      <c r="T26" s="525">
        <f t="shared" si="19"/>
      </c>
      <c r="U26" s="526"/>
      <c r="V26" s="527">
        <f t="shared" si="20"/>
      </c>
      <c r="W26" s="527"/>
      <c r="X26" s="34">
        <f>IF(ISNUMBER(Y26),'Lizenz Nr.- Eingabe'!AG40,"")</f>
      </c>
      <c r="Y26" s="35">
        <f>IF(OR('Lizenz Nr.- Eingabe'!AJ40="x",ISNUMBER('Lizenz Nr.- Eingabe'!AJ40)),'Lizenz Nr.- Eingabe'!AJ40,"")</f>
      </c>
      <c r="Z26" s="6">
        <f t="shared" si="21"/>
        <v>4</v>
      </c>
      <c r="AA26" s="49">
        <f t="shared" si="22"/>
      </c>
      <c r="AB26" s="50">
        <f t="shared" si="0"/>
      </c>
      <c r="AC26" s="6">
        <f>IF(ISNUMBER(AE26),AC25+1,AC25)</f>
        <v>4</v>
      </c>
      <c r="AD26" s="51">
        <f t="shared" si="1"/>
      </c>
      <c r="AE26" s="52">
        <f t="shared" si="2"/>
      </c>
      <c r="AF26" s="6">
        <f t="shared" si="23"/>
        <v>4</v>
      </c>
      <c r="AG26" s="49">
        <f t="shared" si="3"/>
      </c>
      <c r="AH26" s="50">
        <f t="shared" si="4"/>
      </c>
      <c r="AI26" s="6">
        <f t="shared" si="24"/>
        <v>4</v>
      </c>
      <c r="AJ26" s="51">
        <f t="shared" si="5"/>
      </c>
      <c r="AK26" s="52">
        <f t="shared" si="6"/>
      </c>
      <c r="AL26" s="6">
        <f t="shared" si="25"/>
        <v>4</v>
      </c>
      <c r="AM26" s="49">
        <f t="shared" si="7"/>
      </c>
      <c r="AN26" s="50">
        <f t="shared" si="8"/>
      </c>
      <c r="AO26" s="6">
        <f t="shared" si="26"/>
        <v>0</v>
      </c>
      <c r="AP26" s="51">
        <f t="shared" si="9"/>
      </c>
      <c r="AQ26" s="52">
        <f t="shared" si="10"/>
      </c>
      <c r="AR26" s="6">
        <f t="shared" si="27"/>
        <v>0</v>
      </c>
      <c r="AS26" s="49">
        <f t="shared" si="11"/>
      </c>
      <c r="AT26" s="50">
        <f t="shared" si="12"/>
      </c>
      <c r="AU26" s="6">
        <f t="shared" si="28"/>
        <v>0</v>
      </c>
      <c r="AV26" s="51">
        <f t="shared" si="13"/>
      </c>
      <c r="AW26" s="52">
        <f t="shared" si="14"/>
      </c>
      <c r="AX26" s="6">
        <f t="shared" si="29"/>
        <v>0</v>
      </c>
      <c r="AY26" s="49">
        <f t="shared" si="15"/>
      </c>
      <c r="AZ26" s="50">
        <f t="shared" si="16"/>
      </c>
      <c r="BA26" s="6">
        <f t="shared" si="30"/>
        <v>0</v>
      </c>
      <c r="BB26" s="51">
        <f t="shared" si="17"/>
      </c>
      <c r="BC26" s="53">
        <f t="shared" si="18"/>
      </c>
      <c r="BE26" s="498" t="str">
        <f>C56</f>
        <v>RV Etelsen II</v>
      </c>
      <c r="BF26" s="499"/>
      <c r="BG26" s="499"/>
      <c r="BH26" s="500"/>
      <c r="BI26" s="17"/>
      <c r="BJ26" s="498">
        <f>C57</f>
      </c>
      <c r="BK26" s="499"/>
      <c r="BL26" s="499"/>
      <c r="BM26" s="500"/>
    </row>
    <row r="27" spans="1:65" ht="9.75" customHeight="1">
      <c r="A27" s="3"/>
      <c r="B27" s="56"/>
      <c r="C27" s="21"/>
      <c r="D27" s="21"/>
      <c r="E27" s="21"/>
      <c r="F27" s="21"/>
      <c r="G27" s="21"/>
      <c r="H27" s="21"/>
      <c r="I27" s="21"/>
      <c r="J27" s="21"/>
      <c r="K27" s="56"/>
      <c r="L27" s="44">
        <v>1</v>
      </c>
      <c r="M27" s="45">
        <v>3</v>
      </c>
      <c r="N27" s="44">
        <v>4</v>
      </c>
      <c r="O27" s="45">
        <v>5</v>
      </c>
      <c r="P27" s="44">
        <v>2</v>
      </c>
      <c r="Q27" s="45">
        <v>3</v>
      </c>
      <c r="R27" s="47">
        <f>IF($AT$52&gt;2,HLOOKUP($AT$52,$B$3:$Q$48,25,FALSE),0)</f>
        <v>0</v>
      </c>
      <c r="S27" s="48">
        <f>IF($AT$52&gt;2,HLOOKUP($AT$57,$B$3:$Q$48,25,FALSE),0)</f>
        <v>0</v>
      </c>
      <c r="T27" s="525">
        <f t="shared" si="19"/>
      </c>
      <c r="U27" s="526"/>
      <c r="V27" s="527">
        <f t="shared" si="20"/>
      </c>
      <c r="W27" s="527"/>
      <c r="X27" s="34">
        <f>IF(ISNUMBER(Y27),'Lizenz Nr.- Eingabe'!AG41,"")</f>
      </c>
      <c r="Y27" s="35">
        <f>IF(OR('Lizenz Nr.- Eingabe'!AJ41="x",ISNUMBER('Lizenz Nr.- Eingabe'!AJ41)),'Lizenz Nr.- Eingabe'!AJ41,"")</f>
      </c>
      <c r="Z27" s="6">
        <f t="shared" si="21"/>
        <v>4</v>
      </c>
      <c r="AA27" s="49">
        <f t="shared" si="22"/>
      </c>
      <c r="AB27" s="50">
        <f t="shared" si="0"/>
      </c>
      <c r="AC27" s="6">
        <f t="shared" si="35"/>
        <v>4</v>
      </c>
      <c r="AD27" s="51">
        <f t="shared" si="1"/>
      </c>
      <c r="AE27" s="52">
        <f t="shared" si="2"/>
      </c>
      <c r="AF27" s="6">
        <f t="shared" si="23"/>
        <v>4</v>
      </c>
      <c r="AG27" s="49">
        <f t="shared" si="3"/>
      </c>
      <c r="AH27" s="50">
        <f t="shared" si="4"/>
      </c>
      <c r="AI27" s="6">
        <f t="shared" si="24"/>
        <v>4</v>
      </c>
      <c r="AJ27" s="51">
        <f t="shared" si="5"/>
      </c>
      <c r="AK27" s="52">
        <f t="shared" si="6"/>
      </c>
      <c r="AL27" s="6">
        <f t="shared" si="25"/>
        <v>4</v>
      </c>
      <c r="AM27" s="49">
        <f t="shared" si="7"/>
      </c>
      <c r="AN27" s="50">
        <f t="shared" si="8"/>
      </c>
      <c r="AO27" s="6">
        <f t="shared" si="26"/>
        <v>0</v>
      </c>
      <c r="AP27" s="51">
        <f t="shared" si="9"/>
      </c>
      <c r="AQ27" s="52">
        <f t="shared" si="10"/>
      </c>
      <c r="AR27" s="6">
        <f t="shared" si="27"/>
        <v>0</v>
      </c>
      <c r="AS27" s="49">
        <f t="shared" si="11"/>
      </c>
      <c r="AT27" s="50">
        <f t="shared" si="12"/>
      </c>
      <c r="AU27" s="6">
        <f t="shared" si="28"/>
        <v>0</v>
      </c>
      <c r="AV27" s="51">
        <f t="shared" si="13"/>
      </c>
      <c r="AW27" s="52">
        <f t="shared" si="14"/>
      </c>
      <c r="AX27" s="6">
        <f t="shared" si="29"/>
        <v>0</v>
      </c>
      <c r="AY27" s="49">
        <f t="shared" si="15"/>
      </c>
      <c r="AZ27" s="50">
        <f t="shared" si="16"/>
      </c>
      <c r="BA27" s="6">
        <f t="shared" si="30"/>
        <v>0</v>
      </c>
      <c r="BB27" s="51">
        <f t="shared" si="17"/>
      </c>
      <c r="BC27" s="53">
        <f t="shared" si="18"/>
      </c>
      <c r="BE27" s="27">
        <f>IF(AL48&gt;0,VLOOKUP(1,AL4:AN48,2,FALSE),"")</f>
        <v>0</v>
      </c>
      <c r="BF27" s="28">
        <f>IF(AL48&gt;0,VLOOKUP(1,AL4:AN48,3,FALSE),"")</f>
        <v>2</v>
      </c>
      <c r="BG27" s="27">
        <f>IF(ISNUMBER(BF27),IF(BE27=BF27,1,IF(BE27&gt;BF27,$BB$52,0)),"")</f>
        <v>0</v>
      </c>
      <c r="BH27" s="89">
        <f>IF(ISNUMBER(BF27),IF(BE27=BF27,1,IF(BE27&lt;BF27,$BB$52,0)),"")</f>
        <v>3</v>
      </c>
      <c r="BI27" s="17"/>
      <c r="BJ27" s="27">
        <f>IF(AO48,VLOOKUP(1,AO4:AQ48,2,FALSE),"")</f>
      </c>
      <c r="BK27" s="28">
        <f>IF(AO48,VLOOKUP(1,AO4:AQ48,3,FALSE),"")</f>
      </c>
      <c r="BL27" s="27">
        <f>IF(ISNUMBER(BK27),IF(BJ27=BK27,1,IF(BJ27&gt;BK27,$BB$52,0)),"")</f>
      </c>
      <c r="BM27" s="89">
        <f>IF(ISNUMBER(BK27),IF(BJ27=BK27,1,IF(BJ27&lt;BK27,$BB$52,0)),"")</f>
      </c>
    </row>
    <row r="28" spans="1:65" ht="9.75" customHeight="1">
      <c r="A28" s="3"/>
      <c r="B28" s="56"/>
      <c r="C28" s="56"/>
      <c r="D28" s="21"/>
      <c r="E28" s="21"/>
      <c r="F28" s="21"/>
      <c r="G28" s="21"/>
      <c r="H28" s="21"/>
      <c r="I28" s="21"/>
      <c r="J28" s="56"/>
      <c r="K28" s="56"/>
      <c r="L28" s="44">
        <v>7</v>
      </c>
      <c r="M28" s="45">
        <v>8</v>
      </c>
      <c r="N28" s="44">
        <v>7</v>
      </c>
      <c r="O28" s="45">
        <v>9</v>
      </c>
      <c r="P28" s="44">
        <v>1</v>
      </c>
      <c r="Q28" s="45">
        <v>4</v>
      </c>
      <c r="R28" s="47">
        <f>IF($AT$52&gt;2,HLOOKUP($AT$52,$B$3:$Q$48,26,FALSE),0)</f>
        <v>0</v>
      </c>
      <c r="S28" s="48">
        <f>IF($AT$52&gt;2,HLOOKUP($AT$57,$B$3:$Q$48,26,FALSE),0)</f>
        <v>0</v>
      </c>
      <c r="T28" s="525">
        <f t="shared" si="19"/>
      </c>
      <c r="U28" s="526"/>
      <c r="V28" s="527">
        <f t="shared" si="20"/>
      </c>
      <c r="W28" s="527"/>
      <c r="X28" s="34">
        <f>IF(ISNUMBER(Y28),'Lizenz Nr.- Eingabe'!AG42,"")</f>
      </c>
      <c r="Y28" s="35">
        <f>IF(OR('Lizenz Nr.- Eingabe'!AJ42="x",ISNUMBER('Lizenz Nr.- Eingabe'!AJ42)),'Lizenz Nr.- Eingabe'!AJ42,"")</f>
      </c>
      <c r="Z28" s="6">
        <f t="shared" si="21"/>
        <v>4</v>
      </c>
      <c r="AA28" s="49">
        <f t="shared" si="22"/>
      </c>
      <c r="AB28" s="50">
        <f t="shared" si="0"/>
      </c>
      <c r="AC28" s="6">
        <f t="shared" si="35"/>
        <v>4</v>
      </c>
      <c r="AD28" s="51">
        <f t="shared" si="1"/>
      </c>
      <c r="AE28" s="52">
        <f t="shared" si="2"/>
      </c>
      <c r="AF28" s="6">
        <f t="shared" si="23"/>
        <v>4</v>
      </c>
      <c r="AG28" s="49">
        <f t="shared" si="3"/>
      </c>
      <c r="AH28" s="50">
        <f t="shared" si="4"/>
      </c>
      <c r="AI28" s="6">
        <f t="shared" si="24"/>
        <v>4</v>
      </c>
      <c r="AJ28" s="51">
        <f t="shared" si="5"/>
      </c>
      <c r="AK28" s="52">
        <f t="shared" si="6"/>
      </c>
      <c r="AL28" s="6">
        <f t="shared" si="25"/>
        <v>4</v>
      </c>
      <c r="AM28" s="49">
        <f t="shared" si="7"/>
      </c>
      <c r="AN28" s="50">
        <f t="shared" si="8"/>
      </c>
      <c r="AO28" s="6">
        <f t="shared" si="26"/>
        <v>0</v>
      </c>
      <c r="AP28" s="51">
        <f t="shared" si="9"/>
      </c>
      <c r="AQ28" s="52">
        <f t="shared" si="10"/>
      </c>
      <c r="AR28" s="6">
        <f t="shared" si="27"/>
        <v>0</v>
      </c>
      <c r="AS28" s="49">
        <f t="shared" si="11"/>
      </c>
      <c r="AT28" s="50">
        <f t="shared" si="12"/>
      </c>
      <c r="AU28" s="6">
        <f t="shared" si="28"/>
        <v>0</v>
      </c>
      <c r="AV28" s="51">
        <f t="shared" si="13"/>
      </c>
      <c r="AW28" s="52">
        <f t="shared" si="14"/>
      </c>
      <c r="AX28" s="6">
        <f t="shared" si="29"/>
        <v>0</v>
      </c>
      <c r="AY28" s="49">
        <f t="shared" si="15"/>
      </c>
      <c r="AZ28" s="50">
        <f t="shared" si="16"/>
      </c>
      <c r="BA28" s="6">
        <f t="shared" si="30"/>
        <v>0</v>
      </c>
      <c r="BB28" s="51">
        <f t="shared" si="17"/>
      </c>
      <c r="BC28" s="53">
        <f t="shared" si="18"/>
      </c>
      <c r="BE28" s="42">
        <f>IF(AL48&gt;1,VLOOKUP(2,AL4:AN48,2,FALSE),"")</f>
        <v>1</v>
      </c>
      <c r="BF28" s="43">
        <f>IF(AL48&gt;1,VLOOKUP(2,AL4:AN48,3,FALSE),"")</f>
        <v>3</v>
      </c>
      <c r="BG28" s="42">
        <f>IF(ISNUMBER(BF28),IF(BE28=BF28,1,IF(BE28&gt;BF28,$BB$52,0)),"")</f>
        <v>0</v>
      </c>
      <c r="BH28" s="62">
        <f>IF(ISNUMBER(BF28),IF(BE28=BF28,1,IF(BE28&lt;BF28,$BB$52,0)),"")</f>
        <v>3</v>
      </c>
      <c r="BI28" s="17"/>
      <c r="BJ28" s="42">
        <f>IF(AO48&gt;1,VLOOKUP(2,AO4:AQ48,2,FALSE),"")</f>
      </c>
      <c r="BK28" s="43">
        <f>IF(AO48&gt;1,VLOOKUP(2,AO4:AQ48,3,FALSE),"")</f>
      </c>
      <c r="BL28" s="42">
        <f>IF(ISNUMBER(BK28),IF(BJ28=BK28,1,IF(BJ28&gt;BK28,$BB$52,0)),"")</f>
      </c>
      <c r="BM28" s="62">
        <f>IF(ISNUMBER(BK28),IF(BJ28=BK28,1,IF(BJ28&lt;BK28,$BB$52,0)),"")</f>
      </c>
    </row>
    <row r="29" spans="1:65" ht="9.75" customHeight="1">
      <c r="A29" s="3"/>
      <c r="B29" s="56"/>
      <c r="C29" s="56"/>
      <c r="D29" s="21"/>
      <c r="E29" s="21"/>
      <c r="F29" s="21"/>
      <c r="G29" s="21"/>
      <c r="H29" s="21"/>
      <c r="I29" s="21"/>
      <c r="J29" s="56"/>
      <c r="K29" s="56"/>
      <c r="L29" s="44">
        <v>5</v>
      </c>
      <c r="M29" s="45">
        <v>6</v>
      </c>
      <c r="N29" s="44">
        <v>1</v>
      </c>
      <c r="O29" s="45">
        <v>8</v>
      </c>
      <c r="P29" s="44">
        <v>5</v>
      </c>
      <c r="Q29" s="46">
        <v>10</v>
      </c>
      <c r="R29" s="47">
        <f>IF($AT$52&gt;2,HLOOKUP($AT$52,$B$3:$Q$48,27,FALSE),0)</f>
        <v>0</v>
      </c>
      <c r="S29" s="48">
        <f>IF($AT$52&gt;2,HLOOKUP($AT$57,$B$3:$Q$48,27,FALSE),0)</f>
        <v>0</v>
      </c>
      <c r="T29" s="525">
        <f t="shared" si="19"/>
      </c>
      <c r="U29" s="526"/>
      <c r="V29" s="527">
        <f t="shared" si="20"/>
      </c>
      <c r="W29" s="527"/>
      <c r="X29" s="34">
        <f>IF(ISNUMBER(Y29),'Lizenz Nr.- Eingabe'!AG43,"")</f>
      </c>
      <c r="Y29" s="35">
        <f>IF(OR('Lizenz Nr.- Eingabe'!AJ43="x",ISNUMBER('Lizenz Nr.- Eingabe'!AJ43)),'Lizenz Nr.- Eingabe'!AJ43,"")</f>
      </c>
      <c r="Z29" s="6">
        <f t="shared" si="21"/>
        <v>4</v>
      </c>
      <c r="AA29" s="49">
        <f t="shared" si="22"/>
      </c>
      <c r="AB29" s="50">
        <f t="shared" si="0"/>
      </c>
      <c r="AC29" s="6">
        <f t="shared" si="35"/>
        <v>4</v>
      </c>
      <c r="AD29" s="51">
        <f t="shared" si="1"/>
      </c>
      <c r="AE29" s="52">
        <f t="shared" si="2"/>
      </c>
      <c r="AF29" s="6">
        <f t="shared" si="23"/>
        <v>4</v>
      </c>
      <c r="AG29" s="49">
        <f t="shared" si="3"/>
      </c>
      <c r="AH29" s="50">
        <f t="shared" si="4"/>
      </c>
      <c r="AI29" s="6">
        <f t="shared" si="24"/>
        <v>4</v>
      </c>
      <c r="AJ29" s="51">
        <f t="shared" si="5"/>
      </c>
      <c r="AK29" s="52">
        <f t="shared" si="6"/>
      </c>
      <c r="AL29" s="6">
        <f t="shared" si="25"/>
        <v>4</v>
      </c>
      <c r="AM29" s="49">
        <f t="shared" si="7"/>
      </c>
      <c r="AN29" s="50">
        <f t="shared" si="8"/>
      </c>
      <c r="AO29" s="6">
        <f t="shared" si="26"/>
        <v>0</v>
      </c>
      <c r="AP29" s="51">
        <f t="shared" si="9"/>
      </c>
      <c r="AQ29" s="52">
        <f t="shared" si="10"/>
      </c>
      <c r="AR29" s="6">
        <f t="shared" si="27"/>
        <v>0</v>
      </c>
      <c r="AS29" s="49">
        <f t="shared" si="11"/>
      </c>
      <c r="AT29" s="50">
        <f t="shared" si="12"/>
      </c>
      <c r="AU29" s="6">
        <f t="shared" si="28"/>
        <v>0</v>
      </c>
      <c r="AV29" s="51">
        <f t="shared" si="13"/>
      </c>
      <c r="AW29" s="52">
        <f t="shared" si="14"/>
      </c>
      <c r="AX29" s="6">
        <f t="shared" si="29"/>
        <v>0</v>
      </c>
      <c r="AY29" s="49">
        <f t="shared" si="15"/>
      </c>
      <c r="AZ29" s="50">
        <f t="shared" si="16"/>
      </c>
      <c r="BA29" s="6">
        <f t="shared" si="30"/>
        <v>0</v>
      </c>
      <c r="BB29" s="51">
        <f t="shared" si="17"/>
      </c>
      <c r="BC29" s="53">
        <f t="shared" si="18"/>
      </c>
      <c r="BE29" s="42">
        <f>IF(AL48&gt;2,VLOOKUP(3,AL4:AN48,2,FALSE),"")</f>
        <v>5</v>
      </c>
      <c r="BF29" s="43">
        <f>IF(AL48&gt;2,VLOOKUP(3,AL4:AN48,3,FALSE),"")</f>
        <v>0</v>
      </c>
      <c r="BG29" s="42">
        <f aca="true" t="shared" si="40" ref="BG29:BG35">IF(ISNUMBER(BF29),IF(BE29=BF29,1,IF(BE29&gt;BF29,$BB$52,0)),"")</f>
        <v>3</v>
      </c>
      <c r="BH29" s="62">
        <f aca="true" t="shared" si="41" ref="BH29:BH35">IF(ISNUMBER(BF29),IF(BE29=BF29,1,IF(BE29&lt;BF29,$BB$52,0)),"")</f>
        <v>0</v>
      </c>
      <c r="BI29" s="17"/>
      <c r="BJ29" s="42">
        <f>IF(AO48&gt;2,VLOOKUP(3,AO4:AQ48,2,FALSE),"")</f>
      </c>
      <c r="BK29" s="43">
        <f>IF(AO48&gt;2,VLOOKUP(3,AO4:AQ48,3,FALSE),"")</f>
      </c>
      <c r="BL29" s="42">
        <f aca="true" t="shared" si="42" ref="BL29:BL35">IF(ISNUMBER(BK29),IF(BJ29=BK29,1,IF(BJ29&gt;BK29,$BB$52,0)),"")</f>
      </c>
      <c r="BM29" s="62">
        <f aca="true" t="shared" si="43" ref="BM29:BM35">IF(ISNUMBER(BK29),IF(BJ29=BK29,1,IF(BJ29&lt;BK29,$BB$52,0)),"")</f>
      </c>
    </row>
    <row r="30" spans="1:65" ht="9.75" customHeight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4">
        <v>3</v>
      </c>
      <c r="M30" s="45">
        <v>4</v>
      </c>
      <c r="N30" s="44">
        <v>3</v>
      </c>
      <c r="O30" s="45">
        <v>6</v>
      </c>
      <c r="P30" s="44">
        <v>7</v>
      </c>
      <c r="Q30" s="45">
        <v>9</v>
      </c>
      <c r="R30" s="47">
        <f>IF($AT$52&gt;2,HLOOKUP($AT$52,$B$3:$Q$48,28,FALSE),0)</f>
        <v>0</v>
      </c>
      <c r="S30" s="48">
        <f>IF($AT$52&gt;2,HLOOKUP($AT$57,$B$3:$Q$48,28,FALSE),0)</f>
        <v>0</v>
      </c>
      <c r="T30" s="525">
        <f t="shared" si="19"/>
      </c>
      <c r="U30" s="526"/>
      <c r="V30" s="527">
        <f t="shared" si="20"/>
      </c>
      <c r="W30" s="527"/>
      <c r="X30" s="34">
        <f>IF(ISNUMBER(Y30),'Lizenz Nr.- Eingabe'!AG44,"")</f>
      </c>
      <c r="Y30" s="35">
        <f>IF(OR('Lizenz Nr.- Eingabe'!AJ44="x",ISNUMBER('Lizenz Nr.- Eingabe'!AJ44)),'Lizenz Nr.- Eingabe'!AJ44,"")</f>
      </c>
      <c r="Z30" s="6">
        <f t="shared" si="21"/>
        <v>4</v>
      </c>
      <c r="AA30" s="49">
        <f t="shared" si="22"/>
      </c>
      <c r="AB30" s="50">
        <f t="shared" si="0"/>
      </c>
      <c r="AC30" s="6">
        <f t="shared" si="35"/>
        <v>4</v>
      </c>
      <c r="AD30" s="51">
        <f t="shared" si="1"/>
      </c>
      <c r="AE30" s="52">
        <f t="shared" si="2"/>
      </c>
      <c r="AF30" s="6">
        <f t="shared" si="23"/>
        <v>4</v>
      </c>
      <c r="AG30" s="49">
        <f t="shared" si="3"/>
      </c>
      <c r="AH30" s="50">
        <f t="shared" si="4"/>
      </c>
      <c r="AI30" s="6">
        <f t="shared" si="24"/>
        <v>4</v>
      </c>
      <c r="AJ30" s="51">
        <f t="shared" si="5"/>
      </c>
      <c r="AK30" s="52">
        <f t="shared" si="6"/>
      </c>
      <c r="AL30" s="6">
        <f t="shared" si="25"/>
        <v>4</v>
      </c>
      <c r="AM30" s="49">
        <f t="shared" si="7"/>
      </c>
      <c r="AN30" s="50">
        <f t="shared" si="8"/>
      </c>
      <c r="AO30" s="6">
        <f t="shared" si="26"/>
        <v>0</v>
      </c>
      <c r="AP30" s="51">
        <f t="shared" si="9"/>
      </c>
      <c r="AQ30" s="52">
        <f t="shared" si="10"/>
      </c>
      <c r="AR30" s="6">
        <f t="shared" si="27"/>
        <v>0</v>
      </c>
      <c r="AS30" s="49">
        <f t="shared" si="11"/>
      </c>
      <c r="AT30" s="50">
        <f t="shared" si="12"/>
      </c>
      <c r="AU30" s="6">
        <f t="shared" si="28"/>
        <v>0</v>
      </c>
      <c r="AV30" s="51">
        <f t="shared" si="13"/>
      </c>
      <c r="AW30" s="52">
        <f t="shared" si="14"/>
      </c>
      <c r="AX30" s="6">
        <f t="shared" si="29"/>
        <v>0</v>
      </c>
      <c r="AY30" s="49">
        <f t="shared" si="15"/>
      </c>
      <c r="AZ30" s="50">
        <f t="shared" si="16"/>
      </c>
      <c r="BA30" s="6">
        <f t="shared" si="30"/>
        <v>0</v>
      </c>
      <c r="BB30" s="51">
        <f t="shared" si="17"/>
      </c>
      <c r="BC30" s="53">
        <f t="shared" si="18"/>
      </c>
      <c r="BE30" s="42">
        <f>IF(AL48&gt;3,VLOOKUP(4,AL4:AN48,2,FALSE),"")</f>
        <v>0</v>
      </c>
      <c r="BF30" s="43">
        <f>IF(AL48&gt;3,VLOOKUP(4,AL4:AN48,3,FALSE),"")</f>
        <v>11</v>
      </c>
      <c r="BG30" s="42">
        <f t="shared" si="40"/>
        <v>0</v>
      </c>
      <c r="BH30" s="62">
        <f t="shared" si="41"/>
        <v>3</v>
      </c>
      <c r="BI30" s="17"/>
      <c r="BJ30" s="42">
        <f>IF(AO48&gt;3,VLOOKUP(4,AO4:AQ48,2,FALSE),"")</f>
      </c>
      <c r="BK30" s="43">
        <f>IF(AO48&gt;3,VLOOKUP(4,AO4:AQ48,3,FALSE),"")</f>
      </c>
      <c r="BL30" s="42">
        <f t="shared" si="42"/>
      </c>
      <c r="BM30" s="62">
        <f t="shared" si="43"/>
      </c>
    </row>
    <row r="31" spans="1:65" ht="9.75" customHeight="1" thickBot="1">
      <c r="A31" s="3"/>
      <c r="B31" s="56"/>
      <c r="C31" s="56"/>
      <c r="D31" s="56"/>
      <c r="E31" s="21"/>
      <c r="F31" s="21"/>
      <c r="G31" s="56"/>
      <c r="H31" s="56"/>
      <c r="I31" s="56"/>
      <c r="J31" s="56"/>
      <c r="K31" s="56"/>
      <c r="L31" s="61">
        <v>1</v>
      </c>
      <c r="M31" s="55">
        <v>2</v>
      </c>
      <c r="N31" s="44">
        <v>2</v>
      </c>
      <c r="O31" s="45">
        <v>9</v>
      </c>
      <c r="P31" s="44">
        <v>6</v>
      </c>
      <c r="Q31" s="45">
        <v>8</v>
      </c>
      <c r="R31" s="47">
        <f>IF($AT$52&gt;2,HLOOKUP($AT$52,$B$3:$Q$48,29,FALSE),0)</f>
        <v>0</v>
      </c>
      <c r="S31" s="48">
        <f>IF($AT$52&gt;2,HLOOKUP($AT$57,$B$3:$Q$48,29,FALSE),0)</f>
        <v>0</v>
      </c>
      <c r="T31" s="525">
        <f t="shared" si="19"/>
      </c>
      <c r="U31" s="526"/>
      <c r="V31" s="527">
        <f t="shared" si="20"/>
      </c>
      <c r="W31" s="527"/>
      <c r="X31" s="34">
        <f>IF(ISNUMBER(Y31),'Lizenz Nr.- Eingabe'!AG45,"")</f>
      </c>
      <c r="Y31" s="35">
        <f>IF(OR('Lizenz Nr.- Eingabe'!AJ45="x",ISNUMBER('Lizenz Nr.- Eingabe'!AJ45)),'Lizenz Nr.- Eingabe'!AJ45,"")</f>
      </c>
      <c r="Z31" s="6">
        <f t="shared" si="21"/>
        <v>4</v>
      </c>
      <c r="AA31" s="49">
        <f t="shared" si="22"/>
      </c>
      <c r="AB31" s="50">
        <f t="shared" si="0"/>
      </c>
      <c r="AC31" s="6">
        <f>IF(ISNUMBER(AE31),AC30+1,AC30)</f>
        <v>4</v>
      </c>
      <c r="AD31" s="51">
        <f t="shared" si="1"/>
      </c>
      <c r="AE31" s="52">
        <f t="shared" si="2"/>
      </c>
      <c r="AF31" s="6">
        <f t="shared" si="23"/>
        <v>4</v>
      </c>
      <c r="AG31" s="49">
        <f t="shared" si="3"/>
      </c>
      <c r="AH31" s="50">
        <f t="shared" si="4"/>
      </c>
      <c r="AI31" s="6">
        <f t="shared" si="24"/>
        <v>4</v>
      </c>
      <c r="AJ31" s="51">
        <f t="shared" si="5"/>
      </c>
      <c r="AK31" s="52">
        <f t="shared" si="6"/>
      </c>
      <c r="AL31" s="6">
        <f t="shared" si="25"/>
        <v>4</v>
      </c>
      <c r="AM31" s="49">
        <f t="shared" si="7"/>
      </c>
      <c r="AN31" s="50">
        <f t="shared" si="8"/>
      </c>
      <c r="AO31" s="6">
        <f t="shared" si="26"/>
        <v>0</v>
      </c>
      <c r="AP31" s="51">
        <f t="shared" si="9"/>
      </c>
      <c r="AQ31" s="52">
        <f t="shared" si="10"/>
      </c>
      <c r="AR31" s="6">
        <f t="shared" si="27"/>
        <v>0</v>
      </c>
      <c r="AS31" s="49">
        <f t="shared" si="11"/>
      </c>
      <c r="AT31" s="50">
        <f t="shared" si="12"/>
      </c>
      <c r="AU31" s="6">
        <f t="shared" si="28"/>
        <v>0</v>
      </c>
      <c r="AV31" s="51">
        <f t="shared" si="13"/>
      </c>
      <c r="AW31" s="52">
        <f t="shared" si="14"/>
      </c>
      <c r="AX31" s="6">
        <f t="shared" si="29"/>
        <v>0</v>
      </c>
      <c r="AY31" s="49">
        <f t="shared" si="15"/>
      </c>
      <c r="AZ31" s="50">
        <f t="shared" si="16"/>
      </c>
      <c r="BA31" s="6">
        <f t="shared" si="30"/>
        <v>0</v>
      </c>
      <c r="BB31" s="51">
        <f t="shared" si="17"/>
      </c>
      <c r="BC31" s="53">
        <f t="shared" si="18"/>
      </c>
      <c r="BE31" s="42">
        <f>IF(AL48&gt;4,VLOOKUP(5,AL4:AN48,2,FALSE),"")</f>
      </c>
      <c r="BF31" s="43">
        <f>IF(AL48&gt;4,VLOOKUP(5,AL4:AN48,3,FALSE),"")</f>
      </c>
      <c r="BG31" s="42">
        <f t="shared" si="40"/>
      </c>
      <c r="BH31" s="62">
        <f t="shared" si="41"/>
      </c>
      <c r="BI31" s="17"/>
      <c r="BJ31" s="42">
        <f>IF(AO48&gt;4,VLOOKUP(5,AO4:AQ48,2,FALSE),"")</f>
      </c>
      <c r="BK31" s="43">
        <f>IF(AO48&gt;4,VLOOKUP(5,AO4:AQ48,3,FALSE),"")</f>
      </c>
      <c r="BL31" s="42">
        <f t="shared" si="42"/>
      </c>
      <c r="BM31" s="62">
        <f t="shared" si="43"/>
      </c>
    </row>
    <row r="32" spans="1:65" ht="9.75" customHeight="1">
      <c r="A32" s="3"/>
      <c r="B32" s="56"/>
      <c r="C32" s="56"/>
      <c r="D32" s="56"/>
      <c r="E32" s="21"/>
      <c r="F32" s="21"/>
      <c r="G32" s="56"/>
      <c r="H32" s="56"/>
      <c r="I32" s="56"/>
      <c r="J32" s="56"/>
      <c r="K32" s="56"/>
      <c r="L32" s="56"/>
      <c r="M32" s="56"/>
      <c r="N32" s="59">
        <v>1</v>
      </c>
      <c r="O32" s="45">
        <v>7</v>
      </c>
      <c r="P32" s="44">
        <v>1</v>
      </c>
      <c r="Q32" s="45">
        <v>3</v>
      </c>
      <c r="R32" s="47">
        <f>IF($AT$52&gt;2,HLOOKUP($AT$52,$B$3:$Q$48,30,FALSE),0)</f>
        <v>0</v>
      </c>
      <c r="S32" s="48">
        <f>IF($AT$52&gt;2,HLOOKUP($AT$57,$B$3:$Q$48,30,FALSE),0)</f>
        <v>0</v>
      </c>
      <c r="T32" s="525">
        <f>IF(R32&gt;0,VLOOKUP(R32,$B$52:$E$61,2,FALSE),"")</f>
      </c>
      <c r="U32" s="526"/>
      <c r="V32" s="527">
        <f t="shared" si="20"/>
      </c>
      <c r="W32" s="527"/>
      <c r="X32" s="42"/>
      <c r="Y32" s="62"/>
      <c r="Z32" s="6">
        <f t="shared" si="21"/>
        <v>4</v>
      </c>
      <c r="AA32" s="49">
        <f t="shared" si="22"/>
      </c>
      <c r="AB32" s="50">
        <f t="shared" si="0"/>
      </c>
      <c r="AC32" s="6">
        <f t="shared" si="35"/>
        <v>4</v>
      </c>
      <c r="AD32" s="51">
        <f t="shared" si="1"/>
      </c>
      <c r="AE32" s="52">
        <f t="shared" si="2"/>
      </c>
      <c r="AF32" s="6">
        <f t="shared" si="23"/>
        <v>4</v>
      </c>
      <c r="AG32" s="49">
        <f t="shared" si="3"/>
      </c>
      <c r="AH32" s="50">
        <f t="shared" si="4"/>
      </c>
      <c r="AI32" s="6">
        <f t="shared" si="24"/>
        <v>4</v>
      </c>
      <c r="AJ32" s="51">
        <f t="shared" si="5"/>
      </c>
      <c r="AK32" s="52">
        <f t="shared" si="6"/>
      </c>
      <c r="AL32" s="6">
        <f t="shared" si="25"/>
        <v>4</v>
      </c>
      <c r="AM32" s="49">
        <f t="shared" si="7"/>
      </c>
      <c r="AN32" s="50">
        <f t="shared" si="8"/>
      </c>
      <c r="AO32" s="6">
        <f t="shared" si="26"/>
        <v>0</v>
      </c>
      <c r="AP32" s="51">
        <f t="shared" si="9"/>
      </c>
      <c r="AQ32" s="52">
        <f t="shared" si="10"/>
      </c>
      <c r="AR32" s="6">
        <f t="shared" si="27"/>
        <v>0</v>
      </c>
      <c r="AS32" s="49">
        <f t="shared" si="11"/>
      </c>
      <c r="AT32" s="50">
        <f t="shared" si="12"/>
      </c>
      <c r="AU32" s="6">
        <f t="shared" si="28"/>
        <v>0</v>
      </c>
      <c r="AV32" s="51">
        <f t="shared" si="13"/>
      </c>
      <c r="AW32" s="52">
        <f t="shared" si="14"/>
      </c>
      <c r="AX32" s="6">
        <f t="shared" si="29"/>
        <v>0</v>
      </c>
      <c r="AY32" s="49">
        <f t="shared" si="15"/>
      </c>
      <c r="AZ32" s="50">
        <f t="shared" si="16"/>
      </c>
      <c r="BA32" s="6">
        <f t="shared" si="30"/>
        <v>0</v>
      </c>
      <c r="BB32" s="51">
        <f t="shared" si="17"/>
      </c>
      <c r="BC32" s="53">
        <f t="shared" si="18"/>
      </c>
      <c r="BE32" s="42">
        <f>IF(AL48&gt;5,VLOOKUP(6,AL4:AN48,2,FALSE),"")</f>
      </c>
      <c r="BF32" s="43">
        <f>IF(AL48&gt;5,VLOOKUP(6,AL4:AN48,3,FALSE),"")</f>
      </c>
      <c r="BG32" s="42">
        <f t="shared" si="40"/>
      </c>
      <c r="BH32" s="62">
        <f t="shared" si="41"/>
      </c>
      <c r="BI32" s="17"/>
      <c r="BJ32" s="42">
        <f>IF(AO48&gt;5,VLOOKUP(6,AO4:AQ48,2,FALSE),"")</f>
      </c>
      <c r="BK32" s="43">
        <f>IF(AO48&gt;5,VLOOKUP(6,AO4:AQ48,3,FALSE),"")</f>
      </c>
      <c r="BL32" s="42">
        <f t="shared" si="42"/>
      </c>
      <c r="BM32" s="62">
        <f t="shared" si="43"/>
      </c>
    </row>
    <row r="33" spans="1:65" ht="9.75" customHeight="1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4">
        <v>6</v>
      </c>
      <c r="O33" s="45">
        <v>8</v>
      </c>
      <c r="P33" s="44">
        <v>2</v>
      </c>
      <c r="Q33" s="45">
        <v>4</v>
      </c>
      <c r="R33" s="47">
        <f>IF($AT$52&gt;2,HLOOKUP($AT$52,$B$3:$Q$48,31,FALSE),0)</f>
        <v>0</v>
      </c>
      <c r="S33" s="48">
        <f>IF($AT$52&gt;2,HLOOKUP($AT$57,$B$3:$Q$48,31,FALSE),0)</f>
        <v>0</v>
      </c>
      <c r="T33" s="525">
        <f t="shared" si="19"/>
      </c>
      <c r="U33" s="526"/>
      <c r="V33" s="527">
        <f t="shared" si="20"/>
      </c>
      <c r="W33" s="527"/>
      <c r="X33" s="42"/>
      <c r="Y33" s="62"/>
      <c r="Z33" s="6">
        <f t="shared" si="21"/>
        <v>4</v>
      </c>
      <c r="AA33" s="49">
        <f t="shared" si="22"/>
      </c>
      <c r="AB33" s="50">
        <f t="shared" si="0"/>
      </c>
      <c r="AC33" s="6">
        <f t="shared" si="35"/>
        <v>4</v>
      </c>
      <c r="AD33" s="51">
        <f t="shared" si="1"/>
      </c>
      <c r="AE33" s="52">
        <f t="shared" si="2"/>
      </c>
      <c r="AF33" s="6">
        <f t="shared" si="23"/>
        <v>4</v>
      </c>
      <c r="AG33" s="49">
        <f t="shared" si="3"/>
      </c>
      <c r="AH33" s="50">
        <f t="shared" si="4"/>
      </c>
      <c r="AI33" s="6">
        <f t="shared" si="24"/>
        <v>4</v>
      </c>
      <c r="AJ33" s="51">
        <f t="shared" si="5"/>
      </c>
      <c r="AK33" s="52">
        <f t="shared" si="6"/>
      </c>
      <c r="AL33" s="6">
        <f t="shared" si="25"/>
        <v>4</v>
      </c>
      <c r="AM33" s="49">
        <f t="shared" si="7"/>
      </c>
      <c r="AN33" s="50">
        <f t="shared" si="8"/>
      </c>
      <c r="AO33" s="6">
        <f t="shared" si="26"/>
        <v>0</v>
      </c>
      <c r="AP33" s="51">
        <f t="shared" si="9"/>
      </c>
      <c r="AQ33" s="52">
        <f t="shared" si="10"/>
      </c>
      <c r="AR33" s="6">
        <f t="shared" si="27"/>
        <v>0</v>
      </c>
      <c r="AS33" s="49">
        <f t="shared" si="11"/>
      </c>
      <c r="AT33" s="50">
        <f t="shared" si="12"/>
      </c>
      <c r="AU33" s="6">
        <f t="shared" si="28"/>
        <v>0</v>
      </c>
      <c r="AV33" s="51">
        <f t="shared" si="13"/>
      </c>
      <c r="AW33" s="52">
        <f t="shared" si="14"/>
      </c>
      <c r="AX33" s="6">
        <f t="shared" si="29"/>
        <v>0</v>
      </c>
      <c r="AY33" s="49">
        <f t="shared" si="15"/>
      </c>
      <c r="AZ33" s="50">
        <f t="shared" si="16"/>
      </c>
      <c r="BA33" s="6">
        <f t="shared" si="30"/>
        <v>0</v>
      </c>
      <c r="BB33" s="51">
        <f t="shared" si="17"/>
      </c>
      <c r="BC33" s="53">
        <f t="shared" si="18"/>
      </c>
      <c r="BE33" s="42">
        <f>IF(AL48&gt;6,VLOOKUP(7,AL4:AN48,2,FALSE),"")</f>
      </c>
      <c r="BF33" s="43">
        <f>IF(AL48&gt;6,VLOOKUP(7,AL4:AN48,3,FALSE),"")</f>
      </c>
      <c r="BG33" s="42">
        <f t="shared" si="40"/>
      </c>
      <c r="BH33" s="62">
        <f t="shared" si="41"/>
      </c>
      <c r="BI33" s="17"/>
      <c r="BJ33" s="42">
        <f>IF(AO48&gt;6,VLOOKUP(7,AO4:AQ48,2,FALSE),"")</f>
      </c>
      <c r="BK33" s="43">
        <f>IF(AO48&gt;6,VLOOKUP(7,AO4:AQ48,3,FALSE),"")</f>
      </c>
      <c r="BL33" s="42">
        <f t="shared" si="42"/>
      </c>
      <c r="BM33" s="62">
        <f t="shared" si="43"/>
      </c>
    </row>
    <row r="34" spans="1:65" ht="9.75" customHeight="1">
      <c r="A34" s="3"/>
      <c r="B34" s="5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6"/>
      <c r="N34" s="44">
        <v>3</v>
      </c>
      <c r="O34" s="45">
        <v>5</v>
      </c>
      <c r="P34" s="44">
        <v>7</v>
      </c>
      <c r="Q34" s="46">
        <v>10</v>
      </c>
      <c r="R34" s="47">
        <f>IF($AT$52&gt;2,HLOOKUP($AT$52,$B$3:$Q$48,32,FALSE),0)</f>
        <v>0</v>
      </c>
      <c r="S34" s="48">
        <f>IF($AT$52&gt;2,HLOOKUP($AT$57,$B$3:$Q$48,32,FALSE),0)</f>
        <v>0</v>
      </c>
      <c r="T34" s="525">
        <f t="shared" si="19"/>
      </c>
      <c r="U34" s="526"/>
      <c r="V34" s="527">
        <f t="shared" si="20"/>
      </c>
      <c r="W34" s="527"/>
      <c r="X34" s="42"/>
      <c r="Y34" s="62"/>
      <c r="Z34" s="6">
        <f t="shared" si="21"/>
        <v>4</v>
      </c>
      <c r="AA34" s="49">
        <f t="shared" si="22"/>
      </c>
      <c r="AB34" s="50">
        <f t="shared" si="0"/>
      </c>
      <c r="AC34" s="6">
        <f t="shared" si="35"/>
        <v>4</v>
      </c>
      <c r="AD34" s="51">
        <f t="shared" si="1"/>
      </c>
      <c r="AE34" s="52">
        <f t="shared" si="2"/>
      </c>
      <c r="AF34" s="6">
        <f t="shared" si="23"/>
        <v>4</v>
      </c>
      <c r="AG34" s="49">
        <f t="shared" si="3"/>
      </c>
      <c r="AH34" s="50">
        <f t="shared" si="4"/>
      </c>
      <c r="AI34" s="6">
        <f t="shared" si="24"/>
        <v>4</v>
      </c>
      <c r="AJ34" s="51">
        <f t="shared" si="5"/>
      </c>
      <c r="AK34" s="52">
        <f t="shared" si="6"/>
      </c>
      <c r="AL34" s="6">
        <f t="shared" si="25"/>
        <v>4</v>
      </c>
      <c r="AM34" s="49">
        <f t="shared" si="7"/>
      </c>
      <c r="AN34" s="50">
        <f t="shared" si="8"/>
      </c>
      <c r="AO34" s="6">
        <f t="shared" si="26"/>
        <v>0</v>
      </c>
      <c r="AP34" s="51">
        <f t="shared" si="9"/>
      </c>
      <c r="AQ34" s="52">
        <f t="shared" si="10"/>
      </c>
      <c r="AR34" s="6">
        <f t="shared" si="27"/>
        <v>0</v>
      </c>
      <c r="AS34" s="49">
        <f t="shared" si="11"/>
      </c>
      <c r="AT34" s="50">
        <f t="shared" si="12"/>
      </c>
      <c r="AU34" s="6">
        <f t="shared" si="28"/>
        <v>0</v>
      </c>
      <c r="AV34" s="51">
        <f t="shared" si="13"/>
      </c>
      <c r="AW34" s="52">
        <f t="shared" si="14"/>
      </c>
      <c r="AX34" s="6">
        <f t="shared" si="29"/>
        <v>0</v>
      </c>
      <c r="AY34" s="49">
        <f t="shared" si="15"/>
      </c>
      <c r="AZ34" s="50">
        <f t="shared" si="16"/>
      </c>
      <c r="BA34" s="6">
        <f t="shared" si="30"/>
        <v>0</v>
      </c>
      <c r="BB34" s="51">
        <f t="shared" si="17"/>
      </c>
      <c r="BC34" s="53">
        <f t="shared" si="18"/>
      </c>
      <c r="BE34" s="42">
        <f>IF(AL48&gt;7,VLOOKUP(8,AL4:AN48,2,FALSE),"")</f>
      </c>
      <c r="BF34" s="43">
        <f>IF(AL48&gt;7,VLOOKUP(8,AL4:AN48,3,FALSE),"")</f>
      </c>
      <c r="BG34" s="42">
        <f t="shared" si="40"/>
      </c>
      <c r="BH34" s="62">
        <f t="shared" si="41"/>
      </c>
      <c r="BI34" s="17"/>
      <c r="BJ34" s="42">
        <f>IF(AO48&gt;7,VLOOKUP(8,AO4:AQ48,2,FALSE),"")</f>
      </c>
      <c r="BK34" s="43">
        <f>IF(AO48&gt;7,VLOOKUP(8,AO4:AQ48,3,FALSE),"")</f>
      </c>
      <c r="BL34" s="42">
        <f t="shared" si="42"/>
      </c>
      <c r="BM34" s="62">
        <f t="shared" si="43"/>
      </c>
    </row>
    <row r="35" spans="1:65" ht="9.75" customHeight="1" thickBot="1">
      <c r="A35" s="3"/>
      <c r="B35" s="5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6"/>
      <c r="N35" s="44">
        <v>4</v>
      </c>
      <c r="O35" s="45">
        <v>9</v>
      </c>
      <c r="P35" s="44">
        <v>3</v>
      </c>
      <c r="Q35" s="45">
        <v>9</v>
      </c>
      <c r="R35" s="47">
        <f>IF($AT$52&gt;2,HLOOKUP($AT$52,$B$3:$Q$48,33,FALSE),0)</f>
        <v>0</v>
      </c>
      <c r="S35" s="48">
        <f>IF($AT$52&gt;2,HLOOKUP($AT$57,$B$3:$Q$48,33,FALSE),0)</f>
        <v>0</v>
      </c>
      <c r="T35" s="525">
        <f t="shared" si="19"/>
      </c>
      <c r="U35" s="526"/>
      <c r="V35" s="527">
        <f t="shared" si="20"/>
      </c>
      <c r="W35" s="527"/>
      <c r="X35" s="42"/>
      <c r="Y35" s="62"/>
      <c r="Z35" s="6">
        <f t="shared" si="21"/>
        <v>4</v>
      </c>
      <c r="AA35" s="49">
        <f t="shared" si="22"/>
      </c>
      <c r="AB35" s="50">
        <f t="shared" si="0"/>
      </c>
      <c r="AC35" s="6">
        <f t="shared" si="35"/>
        <v>4</v>
      </c>
      <c r="AD35" s="51">
        <f t="shared" si="1"/>
      </c>
      <c r="AE35" s="52">
        <f t="shared" si="2"/>
      </c>
      <c r="AF35" s="6">
        <f t="shared" si="23"/>
        <v>4</v>
      </c>
      <c r="AG35" s="49">
        <f t="shared" si="3"/>
      </c>
      <c r="AH35" s="50">
        <f t="shared" si="4"/>
      </c>
      <c r="AI35" s="6">
        <f t="shared" si="24"/>
        <v>4</v>
      </c>
      <c r="AJ35" s="51">
        <f t="shared" si="5"/>
      </c>
      <c r="AK35" s="52">
        <f t="shared" si="6"/>
      </c>
      <c r="AL35" s="6">
        <f t="shared" si="25"/>
        <v>4</v>
      </c>
      <c r="AM35" s="49">
        <f t="shared" si="7"/>
      </c>
      <c r="AN35" s="50">
        <f t="shared" si="8"/>
      </c>
      <c r="AO35" s="6">
        <f t="shared" si="26"/>
        <v>0</v>
      </c>
      <c r="AP35" s="51">
        <f t="shared" si="9"/>
      </c>
      <c r="AQ35" s="52">
        <f t="shared" si="10"/>
      </c>
      <c r="AR35" s="6">
        <f t="shared" si="27"/>
        <v>0</v>
      </c>
      <c r="AS35" s="49">
        <f t="shared" si="11"/>
      </c>
      <c r="AT35" s="50">
        <f t="shared" si="12"/>
      </c>
      <c r="AU35" s="6">
        <f t="shared" si="28"/>
        <v>0</v>
      </c>
      <c r="AV35" s="51">
        <f t="shared" si="13"/>
      </c>
      <c r="AW35" s="52">
        <f t="shared" si="14"/>
      </c>
      <c r="AX35" s="6">
        <f t="shared" si="29"/>
        <v>0</v>
      </c>
      <c r="AY35" s="49">
        <f t="shared" si="15"/>
      </c>
      <c r="AZ35" s="50">
        <f t="shared" si="16"/>
      </c>
      <c r="BA35" s="6">
        <f t="shared" si="30"/>
        <v>0</v>
      </c>
      <c r="BB35" s="51">
        <f t="shared" si="17"/>
      </c>
      <c r="BC35" s="53">
        <f t="shared" si="18"/>
      </c>
      <c r="BE35" s="57">
        <f>IF(AL48&gt;8,VLOOKUP(9,AL4:AN48,2,FALSE),"")</f>
      </c>
      <c r="BF35" s="58">
        <f>IF(AL48&gt;8,VLOOKUP(9,AL4:AN48,3,FALSE),"")</f>
      </c>
      <c r="BG35" s="42">
        <f t="shared" si="40"/>
      </c>
      <c r="BH35" s="62">
        <f t="shared" si="41"/>
      </c>
      <c r="BI35" s="17"/>
      <c r="BJ35" s="57">
        <f>IF(AO48&gt;8,VLOOKUP(9,AO4:AQ48,2,FALSE),"")</f>
      </c>
      <c r="BK35" s="58">
        <f>IF(AO48&gt;8,VLOOKUP(9,AO4:AQ48,3,FALSE),"")</f>
      </c>
      <c r="BL35" s="42">
        <f t="shared" si="42"/>
      </c>
      <c r="BM35" s="62">
        <f t="shared" si="43"/>
      </c>
    </row>
    <row r="36" spans="1:65" ht="9.75" customHeight="1" thickBot="1">
      <c r="A36" s="3"/>
      <c r="B36" s="5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6"/>
      <c r="N36" s="44">
        <v>7</v>
      </c>
      <c r="O36" s="45">
        <v>8</v>
      </c>
      <c r="P36" s="44">
        <v>4</v>
      </c>
      <c r="Q36" s="45">
        <v>8</v>
      </c>
      <c r="R36" s="47">
        <f>IF($AT$52&gt;2,HLOOKUP($AT$52,$B$3:$Q$48,34,FALSE),0)</f>
        <v>0</v>
      </c>
      <c r="S36" s="48">
        <f>IF($AT$52&gt;2,HLOOKUP($AT$57,$B$3:$Q$48,34,FALSE),0)</f>
        <v>0</v>
      </c>
      <c r="T36" s="525">
        <f t="shared" si="19"/>
      </c>
      <c r="U36" s="526"/>
      <c r="V36" s="527">
        <f t="shared" si="20"/>
      </c>
      <c r="W36" s="527"/>
      <c r="X36" s="42"/>
      <c r="Y36" s="62"/>
      <c r="Z36" s="6">
        <f t="shared" si="21"/>
        <v>4</v>
      </c>
      <c r="AA36" s="49">
        <f t="shared" si="22"/>
      </c>
      <c r="AB36" s="50">
        <f t="shared" si="0"/>
      </c>
      <c r="AC36" s="6">
        <f t="shared" si="35"/>
        <v>4</v>
      </c>
      <c r="AD36" s="51">
        <f t="shared" si="1"/>
      </c>
      <c r="AE36" s="52">
        <f t="shared" si="2"/>
      </c>
      <c r="AF36" s="6">
        <f t="shared" si="23"/>
        <v>4</v>
      </c>
      <c r="AG36" s="49">
        <f t="shared" si="3"/>
      </c>
      <c r="AH36" s="50">
        <f t="shared" si="4"/>
      </c>
      <c r="AI36" s="6">
        <f t="shared" si="24"/>
        <v>4</v>
      </c>
      <c r="AJ36" s="51">
        <f t="shared" si="5"/>
      </c>
      <c r="AK36" s="52">
        <f t="shared" si="6"/>
      </c>
      <c r="AL36" s="6">
        <f t="shared" si="25"/>
        <v>4</v>
      </c>
      <c r="AM36" s="49">
        <f t="shared" si="7"/>
      </c>
      <c r="AN36" s="50">
        <f t="shared" si="8"/>
      </c>
      <c r="AO36" s="6">
        <f t="shared" si="26"/>
        <v>0</v>
      </c>
      <c r="AP36" s="51">
        <f t="shared" si="9"/>
      </c>
      <c r="AQ36" s="52">
        <f t="shared" si="10"/>
      </c>
      <c r="AR36" s="6">
        <f t="shared" si="27"/>
        <v>0</v>
      </c>
      <c r="AS36" s="49">
        <f t="shared" si="11"/>
      </c>
      <c r="AT36" s="50">
        <f t="shared" si="12"/>
      </c>
      <c r="AU36" s="6">
        <f t="shared" si="28"/>
        <v>0</v>
      </c>
      <c r="AV36" s="51">
        <f t="shared" si="13"/>
      </c>
      <c r="AW36" s="52">
        <f t="shared" si="14"/>
      </c>
      <c r="AX36" s="6">
        <f t="shared" si="29"/>
        <v>0</v>
      </c>
      <c r="AY36" s="49">
        <f t="shared" si="15"/>
      </c>
      <c r="AZ36" s="50">
        <f t="shared" si="16"/>
      </c>
      <c r="BA36" s="6">
        <f t="shared" si="30"/>
        <v>0</v>
      </c>
      <c r="BB36" s="51">
        <f t="shared" si="17"/>
      </c>
      <c r="BC36" s="53">
        <f t="shared" si="18"/>
      </c>
      <c r="BE36" s="18">
        <f>IF(ISNUMBER(BE27),SUM(BE27:BE35),"")</f>
        <v>6</v>
      </c>
      <c r="BF36" s="19">
        <f>IF(ISNUMBER(BF27),SUM(BF27:BF35),"")</f>
        <v>16</v>
      </c>
      <c r="BG36" s="18">
        <f>IF(ISNUMBER(BG27),SUM(BG27:BG35),"")</f>
        <v>3</v>
      </c>
      <c r="BH36" s="20">
        <f>IF(ISNUMBER(BH27),SUM(BH27:BH35),"")</f>
        <v>9</v>
      </c>
      <c r="BI36" s="21"/>
      <c r="BJ36" s="18">
        <f>IF(ISNUMBER(BJ27),SUM(BJ27:BJ35),"")</f>
      </c>
      <c r="BK36" s="19">
        <f>IF(ISNUMBER(BK27),SUM(BK27:BK35),"")</f>
      </c>
      <c r="BL36" s="18">
        <f>IF(ISNUMBER(BL27),SUM(BL27:BL35),"")</f>
      </c>
      <c r="BM36" s="20">
        <f>IF(ISNUMBER(BM27),SUM(BM27:BM35),"")</f>
      </c>
    </row>
    <row r="37" spans="1:65" ht="9.75" customHeight="1" thickBot="1">
      <c r="A37" s="3"/>
      <c r="B37" s="5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44">
        <v>5</v>
      </c>
      <c r="O37" s="45">
        <v>6</v>
      </c>
      <c r="P37" s="44">
        <v>2</v>
      </c>
      <c r="Q37" s="45">
        <v>6</v>
      </c>
      <c r="R37" s="47">
        <f>IF($AT$52&gt;2,HLOOKUP($AT$52,$B$3:$Q$48,35,FALSE),0)</f>
        <v>0</v>
      </c>
      <c r="S37" s="48">
        <f>IF($AT$52&gt;2,HLOOKUP($AT$57,$B$3:$Q$48,35,FALSE),0)</f>
        <v>0</v>
      </c>
      <c r="T37" s="525">
        <f t="shared" si="19"/>
      </c>
      <c r="U37" s="526"/>
      <c r="V37" s="527">
        <f t="shared" si="20"/>
      </c>
      <c r="W37" s="527"/>
      <c r="X37" s="42"/>
      <c r="Y37" s="62"/>
      <c r="Z37" s="6">
        <f t="shared" si="21"/>
        <v>4</v>
      </c>
      <c r="AA37" s="49">
        <f t="shared" si="22"/>
      </c>
      <c r="AB37" s="50">
        <f t="shared" si="0"/>
      </c>
      <c r="AC37" s="6">
        <f t="shared" si="35"/>
        <v>4</v>
      </c>
      <c r="AD37" s="51">
        <f t="shared" si="1"/>
      </c>
      <c r="AE37" s="52">
        <f t="shared" si="2"/>
      </c>
      <c r="AF37" s="6">
        <f t="shared" si="23"/>
        <v>4</v>
      </c>
      <c r="AG37" s="49">
        <f t="shared" si="3"/>
      </c>
      <c r="AH37" s="50">
        <f t="shared" si="4"/>
      </c>
      <c r="AI37" s="6">
        <f t="shared" si="24"/>
        <v>4</v>
      </c>
      <c r="AJ37" s="51">
        <f t="shared" si="5"/>
      </c>
      <c r="AK37" s="52">
        <f t="shared" si="6"/>
      </c>
      <c r="AL37" s="6">
        <f t="shared" si="25"/>
        <v>4</v>
      </c>
      <c r="AM37" s="49">
        <f t="shared" si="7"/>
      </c>
      <c r="AN37" s="50">
        <f t="shared" si="8"/>
      </c>
      <c r="AO37" s="6">
        <f t="shared" si="26"/>
        <v>0</v>
      </c>
      <c r="AP37" s="51">
        <f t="shared" si="9"/>
      </c>
      <c r="AQ37" s="52">
        <f t="shared" si="10"/>
      </c>
      <c r="AR37" s="6">
        <f t="shared" si="27"/>
        <v>0</v>
      </c>
      <c r="AS37" s="49">
        <f t="shared" si="11"/>
      </c>
      <c r="AT37" s="50">
        <f t="shared" si="12"/>
      </c>
      <c r="AU37" s="6">
        <f t="shared" si="28"/>
        <v>0</v>
      </c>
      <c r="AV37" s="51">
        <f t="shared" si="13"/>
      </c>
      <c r="AW37" s="52">
        <f t="shared" si="14"/>
      </c>
      <c r="AX37" s="6">
        <f t="shared" si="29"/>
        <v>0</v>
      </c>
      <c r="AY37" s="49">
        <f t="shared" si="15"/>
      </c>
      <c r="AZ37" s="50">
        <f t="shared" si="16"/>
      </c>
      <c r="BA37" s="6">
        <f t="shared" si="30"/>
        <v>0</v>
      </c>
      <c r="BB37" s="51">
        <f t="shared" si="17"/>
      </c>
      <c r="BC37" s="53">
        <f t="shared" si="18"/>
      </c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 thickBot="1">
      <c r="A38" s="3"/>
      <c r="B38" s="5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6"/>
      <c r="N38" s="44">
        <v>3</v>
      </c>
      <c r="O38" s="45">
        <v>4</v>
      </c>
      <c r="P38" s="44">
        <v>1</v>
      </c>
      <c r="Q38" s="45">
        <v>5</v>
      </c>
      <c r="R38" s="47">
        <f>IF($AT$52&gt;2,HLOOKUP($AT$52,$B$3:$Q$48,36,FALSE),0)</f>
        <v>0</v>
      </c>
      <c r="S38" s="48">
        <f>IF($AT$52&gt;2,HLOOKUP($AT$57,$B$3:$Q$48,36,FALSE),0)</f>
        <v>0</v>
      </c>
      <c r="T38" s="525">
        <f t="shared" si="19"/>
      </c>
      <c r="U38" s="526"/>
      <c r="V38" s="527">
        <f t="shared" si="20"/>
      </c>
      <c r="W38" s="527"/>
      <c r="X38" s="42"/>
      <c r="Y38" s="62"/>
      <c r="Z38" s="6">
        <f t="shared" si="21"/>
        <v>4</v>
      </c>
      <c r="AA38" s="49">
        <f t="shared" si="22"/>
      </c>
      <c r="AB38" s="50">
        <f t="shared" si="0"/>
      </c>
      <c r="AC38" s="6">
        <f t="shared" si="35"/>
        <v>4</v>
      </c>
      <c r="AD38" s="51">
        <f t="shared" si="1"/>
      </c>
      <c r="AE38" s="52">
        <f t="shared" si="2"/>
      </c>
      <c r="AF38" s="6">
        <f t="shared" si="23"/>
        <v>4</v>
      </c>
      <c r="AG38" s="49">
        <f t="shared" si="3"/>
      </c>
      <c r="AH38" s="50">
        <f t="shared" si="4"/>
      </c>
      <c r="AI38" s="6">
        <f t="shared" si="24"/>
        <v>4</v>
      </c>
      <c r="AJ38" s="51">
        <f t="shared" si="5"/>
      </c>
      <c r="AK38" s="52">
        <f t="shared" si="6"/>
      </c>
      <c r="AL38" s="6">
        <f t="shared" si="25"/>
        <v>4</v>
      </c>
      <c r="AM38" s="49">
        <f t="shared" si="7"/>
      </c>
      <c r="AN38" s="50">
        <f t="shared" si="8"/>
      </c>
      <c r="AO38" s="6">
        <f t="shared" si="26"/>
        <v>0</v>
      </c>
      <c r="AP38" s="51">
        <f t="shared" si="9"/>
      </c>
      <c r="AQ38" s="52">
        <f t="shared" si="10"/>
      </c>
      <c r="AR38" s="6">
        <f t="shared" si="27"/>
        <v>0</v>
      </c>
      <c r="AS38" s="49">
        <f t="shared" si="11"/>
      </c>
      <c r="AT38" s="50">
        <f t="shared" si="12"/>
      </c>
      <c r="AU38" s="6">
        <f t="shared" si="28"/>
        <v>0</v>
      </c>
      <c r="AV38" s="51">
        <f t="shared" si="13"/>
      </c>
      <c r="AW38" s="52">
        <f t="shared" si="14"/>
      </c>
      <c r="AX38" s="6">
        <f t="shared" si="29"/>
        <v>0</v>
      </c>
      <c r="AY38" s="49">
        <f t="shared" si="15"/>
      </c>
      <c r="AZ38" s="50">
        <f t="shared" si="16"/>
      </c>
      <c r="BA38" s="6">
        <f t="shared" si="30"/>
        <v>0</v>
      </c>
      <c r="BB38" s="51">
        <f t="shared" si="17"/>
      </c>
      <c r="BC38" s="53">
        <f t="shared" si="18"/>
      </c>
      <c r="BE38" s="498">
        <f>C58</f>
      </c>
      <c r="BF38" s="499"/>
      <c r="BG38" s="499"/>
      <c r="BH38" s="500"/>
      <c r="BI38" s="17"/>
      <c r="BJ38" s="498">
        <f>C59</f>
      </c>
      <c r="BK38" s="499"/>
      <c r="BL38" s="499"/>
      <c r="BM38" s="500"/>
    </row>
    <row r="39" spans="1:65" ht="9.75" customHeight="1" thickBot="1">
      <c r="A39" s="3"/>
      <c r="B39" s="5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6"/>
      <c r="N39" s="54">
        <v>1</v>
      </c>
      <c r="O39" s="55">
        <v>2</v>
      </c>
      <c r="P39" s="44">
        <v>4</v>
      </c>
      <c r="Q39" s="46">
        <v>10</v>
      </c>
      <c r="R39" s="47">
        <f>IF($AT$52&gt;2,HLOOKUP($AT$52,$B$3:$Q$48,37,FALSE),0)</f>
        <v>0</v>
      </c>
      <c r="S39" s="48">
        <f>IF($AT$52&gt;2,HLOOKUP($AT$57,$B$3:$Q$48,37,FALSE),0)</f>
        <v>0</v>
      </c>
      <c r="T39" s="525">
        <f t="shared" si="19"/>
      </c>
      <c r="U39" s="526"/>
      <c r="V39" s="527">
        <f t="shared" si="20"/>
      </c>
      <c r="W39" s="527"/>
      <c r="X39" s="42"/>
      <c r="Y39" s="62"/>
      <c r="Z39" s="6">
        <f t="shared" si="21"/>
        <v>4</v>
      </c>
      <c r="AA39" s="49">
        <f t="shared" si="22"/>
      </c>
      <c r="AB39" s="50">
        <f t="shared" si="0"/>
      </c>
      <c r="AC39" s="6">
        <f t="shared" si="35"/>
        <v>4</v>
      </c>
      <c r="AD39" s="51">
        <f t="shared" si="1"/>
      </c>
      <c r="AE39" s="52">
        <f t="shared" si="2"/>
      </c>
      <c r="AF39" s="6">
        <f t="shared" si="23"/>
        <v>4</v>
      </c>
      <c r="AG39" s="49">
        <f t="shared" si="3"/>
      </c>
      <c r="AH39" s="50">
        <f t="shared" si="4"/>
      </c>
      <c r="AI39" s="6">
        <f t="shared" si="24"/>
        <v>4</v>
      </c>
      <c r="AJ39" s="51">
        <f t="shared" si="5"/>
      </c>
      <c r="AK39" s="52">
        <f t="shared" si="6"/>
      </c>
      <c r="AL39" s="6">
        <f t="shared" si="25"/>
        <v>4</v>
      </c>
      <c r="AM39" s="49">
        <f t="shared" si="7"/>
      </c>
      <c r="AN39" s="50">
        <f t="shared" si="8"/>
      </c>
      <c r="AO39" s="6">
        <f t="shared" si="26"/>
        <v>0</v>
      </c>
      <c r="AP39" s="51">
        <f t="shared" si="9"/>
      </c>
      <c r="AQ39" s="52">
        <f t="shared" si="10"/>
      </c>
      <c r="AR39" s="6">
        <f t="shared" si="27"/>
        <v>0</v>
      </c>
      <c r="AS39" s="49">
        <f t="shared" si="11"/>
      </c>
      <c r="AT39" s="50">
        <f t="shared" si="12"/>
      </c>
      <c r="AU39" s="6">
        <f t="shared" si="28"/>
        <v>0</v>
      </c>
      <c r="AV39" s="51">
        <f t="shared" si="13"/>
      </c>
      <c r="AW39" s="52">
        <f t="shared" si="14"/>
      </c>
      <c r="AX39" s="6">
        <f t="shared" si="29"/>
        <v>0</v>
      </c>
      <c r="AY39" s="49">
        <f t="shared" si="15"/>
      </c>
      <c r="AZ39" s="50">
        <f t="shared" si="16"/>
      </c>
      <c r="BA39" s="6">
        <f t="shared" si="30"/>
        <v>0</v>
      </c>
      <c r="BB39" s="51">
        <f t="shared" si="17"/>
      </c>
      <c r="BC39" s="53">
        <f t="shared" si="18"/>
      </c>
      <c r="BE39" s="27">
        <f>IF(AR48&gt;0,VLOOKUP(1,AR4:AT48,2,FALSE),"")</f>
      </c>
      <c r="BF39" s="28">
        <f>IF(AR48&gt;0,VLOOKUP(1,AR4:AT48,3,FALSE),"")</f>
      </c>
      <c r="BG39" s="27">
        <f>IF(ISNUMBER(BF39),IF(BE39=BF39,1,IF(BE39&gt;BF39,$BB$52,0)),"")</f>
      </c>
      <c r="BH39" s="89">
        <f>IF(ISNUMBER(BF39),IF(BE39=BF39,1,IF(BE39&lt;BF39,$BB$52,0)),"")</f>
      </c>
      <c r="BI39" s="17"/>
      <c r="BJ39" s="27">
        <f>IF(AU48&gt;0,VLOOKUP(1,AU4:AW48,2,FALSE),"")</f>
      </c>
      <c r="BK39" s="28">
        <f>IF(AU48&gt;0,VLOOKUP(1,AU4:AW48,3,FALSE),"")</f>
      </c>
      <c r="BL39" s="27">
        <f>IF(ISNUMBER(BK39),IF(BJ39=BK39,1,IF(BJ39&gt;BK39,$BB$52,0)),"")</f>
      </c>
      <c r="BM39" s="89">
        <f>IF(ISNUMBER(BK39),IF(BJ39=BK39,1,IF(BJ39&lt;BK39,$BB$52,0)),"")</f>
      </c>
    </row>
    <row r="40" spans="1:65" ht="9.75" customHeight="1">
      <c r="A40" s="3"/>
      <c r="B40" s="5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6"/>
      <c r="N40" s="56"/>
      <c r="O40" s="56"/>
      <c r="P40" s="44">
        <v>3</v>
      </c>
      <c r="Q40" s="45">
        <v>7</v>
      </c>
      <c r="R40" s="47">
        <f>IF($AT$52&gt;2,HLOOKUP($AT$52,$B$3:$Q$48,38,FALSE),0)</f>
        <v>0</v>
      </c>
      <c r="S40" s="48">
        <f>IF($AT$52&gt;2,HLOOKUP($AT$57,$B$3:$Q$48,38,FALSE),0)</f>
        <v>0</v>
      </c>
      <c r="T40" s="525">
        <f t="shared" si="19"/>
      </c>
      <c r="U40" s="526"/>
      <c r="V40" s="527">
        <f t="shared" si="20"/>
      </c>
      <c r="W40" s="527"/>
      <c r="X40" s="42"/>
      <c r="Y40" s="62"/>
      <c r="Z40" s="6">
        <f t="shared" si="21"/>
        <v>4</v>
      </c>
      <c r="AA40" s="49">
        <f t="shared" si="22"/>
      </c>
      <c r="AB40" s="50">
        <f t="shared" si="0"/>
      </c>
      <c r="AC40" s="6">
        <f t="shared" si="35"/>
        <v>4</v>
      </c>
      <c r="AD40" s="51">
        <f t="shared" si="1"/>
      </c>
      <c r="AE40" s="52">
        <f t="shared" si="2"/>
      </c>
      <c r="AF40" s="6">
        <f t="shared" si="23"/>
        <v>4</v>
      </c>
      <c r="AG40" s="49">
        <f t="shared" si="3"/>
      </c>
      <c r="AH40" s="50">
        <f t="shared" si="4"/>
      </c>
      <c r="AI40" s="6">
        <f t="shared" si="24"/>
        <v>4</v>
      </c>
      <c r="AJ40" s="51">
        <f t="shared" si="5"/>
      </c>
      <c r="AK40" s="52">
        <f t="shared" si="6"/>
      </c>
      <c r="AL40" s="6">
        <f t="shared" si="25"/>
        <v>4</v>
      </c>
      <c r="AM40" s="49">
        <f t="shared" si="7"/>
      </c>
      <c r="AN40" s="50">
        <f t="shared" si="8"/>
      </c>
      <c r="AO40" s="6">
        <f t="shared" si="26"/>
        <v>0</v>
      </c>
      <c r="AP40" s="51">
        <f t="shared" si="9"/>
      </c>
      <c r="AQ40" s="52">
        <f t="shared" si="10"/>
      </c>
      <c r="AR40" s="6">
        <f t="shared" si="27"/>
        <v>0</v>
      </c>
      <c r="AS40" s="49">
        <f t="shared" si="11"/>
      </c>
      <c r="AT40" s="50">
        <f t="shared" si="12"/>
      </c>
      <c r="AU40" s="6">
        <f t="shared" si="28"/>
        <v>0</v>
      </c>
      <c r="AV40" s="51">
        <f t="shared" si="13"/>
      </c>
      <c r="AW40" s="52">
        <f t="shared" si="14"/>
      </c>
      <c r="AX40" s="6">
        <f t="shared" si="29"/>
        <v>0</v>
      </c>
      <c r="AY40" s="49">
        <f t="shared" si="15"/>
      </c>
      <c r="AZ40" s="50">
        <f t="shared" si="16"/>
      </c>
      <c r="BA40" s="6">
        <f t="shared" si="30"/>
        <v>0</v>
      </c>
      <c r="BB40" s="51">
        <f t="shared" si="17"/>
      </c>
      <c r="BC40" s="53">
        <f t="shared" si="18"/>
      </c>
      <c r="BE40" s="42">
        <f>IF(AR48&gt;1,VLOOKUP(2,AR4:AT48,2,FALSE),"")</f>
      </c>
      <c r="BF40" s="43">
        <f>IF(AR48&gt;1,VLOOKUP(2,AR4:AT48,3,FALSE),"")</f>
      </c>
      <c r="BG40" s="42">
        <f>IF(ISNUMBER(BF40),IF(BE40=BF40,1,IF(BE40&gt;BF40,$BB$52,0)),"")</f>
      </c>
      <c r="BH40" s="62">
        <f>IF(ISNUMBER(BF40),IF(BE40=BF40,1,IF(BE40&lt;BF40,$BB$52,0)),"")</f>
      </c>
      <c r="BI40" s="17"/>
      <c r="BJ40" s="42">
        <f>IF(AU48&gt;1,VLOOKUP(2,AU4:AW48,2,FALSE),"")</f>
      </c>
      <c r="BK40" s="43">
        <f>IF(AU48&gt;1,VLOOKUP(2,AU4:AW48,3,FALSE),"")</f>
      </c>
      <c r="BL40" s="42">
        <f>IF(ISNUMBER(BK40),IF(BJ40=BK40,1,IF(BJ40&gt;BK40,$BB$52,0)),"")</f>
      </c>
      <c r="BM40" s="62">
        <f>IF(ISNUMBER(BK40),IF(BJ40=BK40,1,IF(BJ40&lt;BK40,$BB$52,0)),"")</f>
      </c>
    </row>
    <row r="41" spans="1:65" ht="9.75" customHeight="1">
      <c r="A41" s="3"/>
      <c r="B41" s="5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6"/>
      <c r="N41" s="56"/>
      <c r="O41" s="56"/>
      <c r="P41" s="44">
        <v>5</v>
      </c>
      <c r="Q41" s="45">
        <v>9</v>
      </c>
      <c r="R41" s="47">
        <f>IF($AT$52&gt;2,HLOOKUP($AT$52,$B$3:$Q$48,39,FALSE),0)</f>
        <v>0</v>
      </c>
      <c r="S41" s="48">
        <f>IF($AT$52&gt;2,HLOOKUP($AT$57,$B$3:$Q$48,39,FALSE),0)</f>
        <v>0</v>
      </c>
      <c r="T41" s="525">
        <f t="shared" si="19"/>
      </c>
      <c r="U41" s="526"/>
      <c r="V41" s="527">
        <f t="shared" si="20"/>
      </c>
      <c r="W41" s="527"/>
      <c r="X41" s="42"/>
      <c r="Y41" s="62"/>
      <c r="Z41" s="6">
        <f t="shared" si="21"/>
        <v>4</v>
      </c>
      <c r="AA41" s="49">
        <f t="shared" si="22"/>
      </c>
      <c r="AB41" s="50">
        <f t="shared" si="0"/>
      </c>
      <c r="AC41" s="6">
        <f t="shared" si="35"/>
        <v>4</v>
      </c>
      <c r="AD41" s="51">
        <f t="shared" si="1"/>
      </c>
      <c r="AE41" s="52">
        <f t="shared" si="2"/>
      </c>
      <c r="AF41" s="6">
        <f t="shared" si="23"/>
        <v>4</v>
      </c>
      <c r="AG41" s="49">
        <f t="shared" si="3"/>
      </c>
      <c r="AH41" s="50">
        <f t="shared" si="4"/>
      </c>
      <c r="AI41" s="6">
        <f t="shared" si="24"/>
        <v>4</v>
      </c>
      <c r="AJ41" s="51">
        <f t="shared" si="5"/>
      </c>
      <c r="AK41" s="52">
        <f t="shared" si="6"/>
      </c>
      <c r="AL41" s="6">
        <f t="shared" si="25"/>
        <v>4</v>
      </c>
      <c r="AM41" s="49">
        <f t="shared" si="7"/>
      </c>
      <c r="AN41" s="50">
        <f t="shared" si="8"/>
      </c>
      <c r="AO41" s="6">
        <f t="shared" si="26"/>
        <v>0</v>
      </c>
      <c r="AP41" s="51">
        <f t="shared" si="9"/>
      </c>
      <c r="AQ41" s="52">
        <f t="shared" si="10"/>
      </c>
      <c r="AR41" s="6">
        <f t="shared" si="27"/>
        <v>0</v>
      </c>
      <c r="AS41" s="49">
        <f t="shared" si="11"/>
      </c>
      <c r="AT41" s="50">
        <f t="shared" si="12"/>
      </c>
      <c r="AU41" s="6">
        <f t="shared" si="28"/>
        <v>0</v>
      </c>
      <c r="AV41" s="51">
        <f t="shared" si="13"/>
      </c>
      <c r="AW41" s="52">
        <f t="shared" si="14"/>
      </c>
      <c r="AX41" s="6">
        <f t="shared" si="29"/>
        <v>0</v>
      </c>
      <c r="AY41" s="49">
        <f t="shared" si="15"/>
      </c>
      <c r="AZ41" s="50">
        <f t="shared" si="16"/>
      </c>
      <c r="BA41" s="6">
        <f t="shared" si="30"/>
        <v>0</v>
      </c>
      <c r="BB41" s="51">
        <f t="shared" si="17"/>
      </c>
      <c r="BC41" s="53">
        <f t="shared" si="18"/>
      </c>
      <c r="BE41" s="42">
        <f>IF(AR48&gt;2,VLOOKUP(3,AR4:AT48,2,FALSE),"")</f>
      </c>
      <c r="BF41" s="43">
        <f>IF(AR48&gt;2,VLOOKUP(3,AR4:AT48,3,FALSE),"")</f>
      </c>
      <c r="BG41" s="42">
        <f aca="true" t="shared" si="44" ref="BG41:BG47">IF(ISNUMBER(BF41),IF(BE41=BF41,1,IF(BE41&gt;BF41,$BB$52,0)),"")</f>
      </c>
      <c r="BH41" s="62">
        <f aca="true" t="shared" si="45" ref="BH41:BH47">IF(ISNUMBER(BF41),IF(BE41=BF41,1,IF(BE41&lt;BF41,$BB$52,0)),"")</f>
      </c>
      <c r="BI41" s="17"/>
      <c r="BJ41" s="42">
        <f>IF(AU48&gt;2,VLOOKUP(3,AU4:AW48,2,FALSE),"")</f>
      </c>
      <c r="BK41" s="43">
        <f>IF(AU48&gt;2,VLOOKUP(3,AU4:AW48,3,FALSE),"")</f>
      </c>
      <c r="BL41" s="42">
        <f aca="true" t="shared" si="46" ref="BL41:BL47">IF(ISNUMBER(BK41),IF(BJ41=BK41,1,IF(BJ41&gt;BK41,$BB$52,0)),"")</f>
      </c>
      <c r="BM41" s="62">
        <f aca="true" t="shared" si="47" ref="BM41:BM47">IF(ISNUMBER(BK41),IF(BJ41=BK41,1,IF(BJ41&lt;BK41,$BB$52,0)),"")</f>
      </c>
    </row>
    <row r="42" spans="1:65" ht="9.75" customHeight="1">
      <c r="A42" s="3"/>
      <c r="B42" s="5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6"/>
      <c r="N42" s="56"/>
      <c r="O42" s="56"/>
      <c r="P42" s="44">
        <v>2</v>
      </c>
      <c r="Q42" s="45">
        <v>8</v>
      </c>
      <c r="R42" s="47">
        <f>IF($AT$52&gt;2,HLOOKUP($AT$52,$B$3:$Q$48,40,FALSE),0)</f>
        <v>0</v>
      </c>
      <c r="S42" s="48">
        <f>IF($AT$52&gt;2,HLOOKUP($AT$57,$B$3:$Q$48,40,FALSE),0)</f>
        <v>0</v>
      </c>
      <c r="T42" s="525">
        <f t="shared" si="19"/>
      </c>
      <c r="U42" s="526"/>
      <c r="V42" s="527">
        <f t="shared" si="20"/>
      </c>
      <c r="W42" s="527"/>
      <c r="X42" s="42"/>
      <c r="Y42" s="62"/>
      <c r="Z42" s="6">
        <f t="shared" si="21"/>
        <v>4</v>
      </c>
      <c r="AA42" s="49">
        <f t="shared" si="22"/>
      </c>
      <c r="AB42" s="50">
        <f t="shared" si="0"/>
      </c>
      <c r="AC42" s="6">
        <f t="shared" si="35"/>
        <v>4</v>
      </c>
      <c r="AD42" s="51">
        <f t="shared" si="1"/>
      </c>
      <c r="AE42" s="52">
        <f t="shared" si="2"/>
      </c>
      <c r="AF42" s="6">
        <f t="shared" si="23"/>
        <v>4</v>
      </c>
      <c r="AG42" s="49">
        <f t="shared" si="3"/>
      </c>
      <c r="AH42" s="50">
        <f t="shared" si="4"/>
      </c>
      <c r="AI42" s="6">
        <f t="shared" si="24"/>
        <v>4</v>
      </c>
      <c r="AJ42" s="51">
        <f t="shared" si="5"/>
      </c>
      <c r="AK42" s="52">
        <f t="shared" si="6"/>
      </c>
      <c r="AL42" s="6">
        <f t="shared" si="25"/>
        <v>4</v>
      </c>
      <c r="AM42" s="49">
        <f t="shared" si="7"/>
      </c>
      <c r="AN42" s="50">
        <f t="shared" si="8"/>
      </c>
      <c r="AO42" s="6">
        <f t="shared" si="26"/>
        <v>0</v>
      </c>
      <c r="AP42" s="51">
        <f t="shared" si="9"/>
      </c>
      <c r="AQ42" s="52">
        <f t="shared" si="10"/>
      </c>
      <c r="AR42" s="6">
        <f t="shared" si="27"/>
        <v>0</v>
      </c>
      <c r="AS42" s="49">
        <f t="shared" si="11"/>
      </c>
      <c r="AT42" s="50">
        <f t="shared" si="12"/>
      </c>
      <c r="AU42" s="6">
        <f t="shared" si="28"/>
        <v>0</v>
      </c>
      <c r="AV42" s="51">
        <f t="shared" si="13"/>
      </c>
      <c r="AW42" s="52">
        <f t="shared" si="14"/>
      </c>
      <c r="AX42" s="6">
        <f t="shared" si="29"/>
        <v>0</v>
      </c>
      <c r="AY42" s="49">
        <f t="shared" si="15"/>
      </c>
      <c r="AZ42" s="50">
        <f t="shared" si="16"/>
      </c>
      <c r="BA42" s="6">
        <f t="shared" si="30"/>
        <v>0</v>
      </c>
      <c r="BB42" s="51">
        <f t="shared" si="17"/>
      </c>
      <c r="BC42" s="53">
        <f t="shared" si="18"/>
      </c>
      <c r="BE42" s="42">
        <f>IF(AR48&gt;3,VLOOKUP(4,AR4:AT48,2,FALSE),"")</f>
      </c>
      <c r="BF42" s="43">
        <f>IF(AR48&gt;3,VLOOKUP(4,AR4:AT48,3,FALSE),"")</f>
      </c>
      <c r="BG42" s="42">
        <f t="shared" si="44"/>
      </c>
      <c r="BH42" s="62">
        <f t="shared" si="45"/>
      </c>
      <c r="BI42" s="17"/>
      <c r="BJ42" s="42">
        <f>IF(AU48&gt;3,VLOOKUP(4,AU4:AW48,2,FALSE),"")</f>
      </c>
      <c r="BK42" s="43">
        <f>IF(AU48&gt;3,VLOOKUP(4,AU4:AW48,3,FALSE),"")</f>
      </c>
      <c r="BL42" s="42">
        <f t="shared" si="46"/>
      </c>
      <c r="BM42" s="62">
        <f t="shared" si="47"/>
      </c>
    </row>
    <row r="43" spans="1:65" ht="9.75" customHeight="1">
      <c r="A43" s="3"/>
      <c r="B43" s="5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6"/>
      <c r="N43" s="56"/>
      <c r="O43" s="56"/>
      <c r="P43" s="44">
        <v>1</v>
      </c>
      <c r="Q43" s="45">
        <v>6</v>
      </c>
      <c r="R43" s="47">
        <f>IF($AT$52&gt;2,HLOOKUP($AT$52,$B$3:$Q$48,41,FALSE),0)</f>
        <v>0</v>
      </c>
      <c r="S43" s="48">
        <f>IF($AT$52&gt;2,HLOOKUP($AT$57,$B$3:$Q$48,41,FALSE),0)</f>
        <v>0</v>
      </c>
      <c r="T43" s="525">
        <f t="shared" si="19"/>
      </c>
      <c r="U43" s="526"/>
      <c r="V43" s="527">
        <f t="shared" si="20"/>
      </c>
      <c r="W43" s="527"/>
      <c r="X43" s="42"/>
      <c r="Y43" s="62"/>
      <c r="Z43" s="6">
        <f t="shared" si="21"/>
        <v>4</v>
      </c>
      <c r="AA43" s="49">
        <f t="shared" si="22"/>
      </c>
      <c r="AB43" s="50">
        <f t="shared" si="0"/>
      </c>
      <c r="AC43" s="6">
        <f t="shared" si="35"/>
        <v>4</v>
      </c>
      <c r="AD43" s="51">
        <f t="shared" si="1"/>
      </c>
      <c r="AE43" s="52">
        <f t="shared" si="2"/>
      </c>
      <c r="AF43" s="6">
        <f t="shared" si="23"/>
        <v>4</v>
      </c>
      <c r="AG43" s="49">
        <f t="shared" si="3"/>
      </c>
      <c r="AH43" s="50">
        <f t="shared" si="4"/>
      </c>
      <c r="AI43" s="6">
        <f t="shared" si="24"/>
        <v>4</v>
      </c>
      <c r="AJ43" s="51">
        <f t="shared" si="5"/>
      </c>
      <c r="AK43" s="52">
        <f t="shared" si="6"/>
      </c>
      <c r="AL43" s="6">
        <f t="shared" si="25"/>
        <v>4</v>
      </c>
      <c r="AM43" s="49">
        <f t="shared" si="7"/>
      </c>
      <c r="AN43" s="50">
        <f t="shared" si="8"/>
      </c>
      <c r="AO43" s="6">
        <f t="shared" si="26"/>
        <v>0</v>
      </c>
      <c r="AP43" s="51">
        <f t="shared" si="9"/>
      </c>
      <c r="AQ43" s="52">
        <f t="shared" si="10"/>
      </c>
      <c r="AR43" s="6">
        <f t="shared" si="27"/>
        <v>0</v>
      </c>
      <c r="AS43" s="49">
        <f t="shared" si="11"/>
      </c>
      <c r="AT43" s="50">
        <f t="shared" si="12"/>
      </c>
      <c r="AU43" s="6">
        <f t="shared" si="28"/>
        <v>0</v>
      </c>
      <c r="AV43" s="51">
        <f t="shared" si="13"/>
      </c>
      <c r="AW43" s="52">
        <f t="shared" si="14"/>
      </c>
      <c r="AX43" s="6">
        <f t="shared" si="29"/>
        <v>0</v>
      </c>
      <c r="AY43" s="49">
        <f t="shared" si="15"/>
      </c>
      <c r="AZ43" s="50">
        <f t="shared" si="16"/>
      </c>
      <c r="BA43" s="6">
        <f t="shared" si="30"/>
        <v>0</v>
      </c>
      <c r="BB43" s="51">
        <f t="shared" si="17"/>
      </c>
      <c r="BC43" s="53">
        <f t="shared" si="18"/>
      </c>
      <c r="BE43" s="42">
        <f>IF(AR48&gt;4,VLOOKUP(5,AR4:AT48,2,FALSE),"")</f>
      </c>
      <c r="BF43" s="43">
        <f>IF(AR48&gt;4,VLOOKUP(5,AR4:AT48,3,FALSE),"")</f>
      </c>
      <c r="BG43" s="42">
        <f t="shared" si="44"/>
      </c>
      <c r="BH43" s="62">
        <f t="shared" si="45"/>
      </c>
      <c r="BI43" s="17"/>
      <c r="BJ43" s="42">
        <f>IF(AU48&gt;4,VLOOKUP(5,AU4:AW48,2,FALSE),"")</f>
      </c>
      <c r="BK43" s="43">
        <f>IF(AU48&gt;4,VLOOKUP(5,AU4:AW48,3,FALSE),"")</f>
      </c>
      <c r="BL43" s="42">
        <f t="shared" si="46"/>
      </c>
      <c r="BM43" s="62">
        <f t="shared" si="47"/>
      </c>
    </row>
    <row r="44" spans="1:65" ht="9.75" customHeight="1">
      <c r="A44" s="3"/>
      <c r="B44" s="5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44">
        <v>9</v>
      </c>
      <c r="Q44" s="46">
        <v>10</v>
      </c>
      <c r="R44" s="47">
        <f>IF($AT$52&gt;2,HLOOKUP($AT$52,$B$3:$Q$48,42,FALSE),0)</f>
        <v>0</v>
      </c>
      <c r="S44" s="48">
        <f>IF($AT$52&gt;2,HLOOKUP($AT$57,$B$3:$Q$48,42,FALSE),0)</f>
        <v>0</v>
      </c>
      <c r="T44" s="525">
        <f t="shared" si="19"/>
      </c>
      <c r="U44" s="526"/>
      <c r="V44" s="527">
        <f t="shared" si="20"/>
      </c>
      <c r="W44" s="527"/>
      <c r="X44" s="42"/>
      <c r="Y44" s="62"/>
      <c r="Z44" s="6">
        <f t="shared" si="21"/>
        <v>4</v>
      </c>
      <c r="AA44" s="49">
        <f t="shared" si="22"/>
      </c>
      <c r="AB44" s="50">
        <f t="shared" si="0"/>
      </c>
      <c r="AC44" s="6">
        <f t="shared" si="35"/>
        <v>4</v>
      </c>
      <c r="AD44" s="51">
        <f t="shared" si="1"/>
      </c>
      <c r="AE44" s="52">
        <f t="shared" si="2"/>
      </c>
      <c r="AF44" s="6">
        <f t="shared" si="23"/>
        <v>4</v>
      </c>
      <c r="AG44" s="49">
        <f t="shared" si="3"/>
      </c>
      <c r="AH44" s="50">
        <f t="shared" si="4"/>
      </c>
      <c r="AI44" s="6">
        <f t="shared" si="24"/>
        <v>4</v>
      </c>
      <c r="AJ44" s="51">
        <f t="shared" si="5"/>
      </c>
      <c r="AK44" s="52">
        <f t="shared" si="6"/>
      </c>
      <c r="AL44" s="6">
        <f t="shared" si="25"/>
        <v>4</v>
      </c>
      <c r="AM44" s="49">
        <f t="shared" si="7"/>
      </c>
      <c r="AN44" s="50">
        <f t="shared" si="8"/>
      </c>
      <c r="AO44" s="6">
        <f t="shared" si="26"/>
        <v>0</v>
      </c>
      <c r="AP44" s="51">
        <f t="shared" si="9"/>
      </c>
      <c r="AQ44" s="52">
        <f t="shared" si="10"/>
      </c>
      <c r="AR44" s="6">
        <f t="shared" si="27"/>
        <v>0</v>
      </c>
      <c r="AS44" s="49">
        <f t="shared" si="11"/>
      </c>
      <c r="AT44" s="50">
        <f t="shared" si="12"/>
      </c>
      <c r="AU44" s="6">
        <f t="shared" si="28"/>
        <v>0</v>
      </c>
      <c r="AV44" s="51">
        <f t="shared" si="13"/>
      </c>
      <c r="AW44" s="52">
        <f t="shared" si="14"/>
      </c>
      <c r="AX44" s="6">
        <f t="shared" si="29"/>
        <v>0</v>
      </c>
      <c r="AY44" s="49">
        <f t="shared" si="15"/>
      </c>
      <c r="AZ44" s="50">
        <f t="shared" si="16"/>
      </c>
      <c r="BA44" s="6">
        <f t="shared" si="30"/>
        <v>0</v>
      </c>
      <c r="BB44" s="51">
        <f t="shared" si="17"/>
      </c>
      <c r="BC44" s="53">
        <f t="shared" si="18"/>
      </c>
      <c r="BE44" s="42">
        <f>IF(AR48&gt;5,VLOOKUP(6,AR4:AT48,2,FALSE),"")</f>
      </c>
      <c r="BF44" s="43">
        <f>IF(AR48&gt;5,VLOOKUP(6,AR4:AT48,3,FALSE),"")</f>
      </c>
      <c r="BG44" s="42">
        <f t="shared" si="44"/>
      </c>
      <c r="BH44" s="62">
        <f t="shared" si="45"/>
      </c>
      <c r="BI44" s="17"/>
      <c r="BJ44" s="42">
        <f>IF(AU48&gt;5,VLOOKUP(6,AU4:AW48,2,FALSE),"")</f>
      </c>
      <c r="BK44" s="43">
        <f>IF(AU48&gt;5,VLOOKUP(6,AU4:AW48,3,FALSE),"")</f>
      </c>
      <c r="BL44" s="42">
        <f t="shared" si="46"/>
      </c>
      <c r="BM44" s="62">
        <f t="shared" si="47"/>
      </c>
    </row>
    <row r="45" spans="1:65" ht="9.75" customHeight="1">
      <c r="A45" s="3"/>
      <c r="B45" s="5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44">
        <v>7</v>
      </c>
      <c r="Q45" s="45">
        <v>8</v>
      </c>
      <c r="R45" s="47">
        <f>IF($AT$52&gt;2,HLOOKUP($AT$52,$B$3:$Q$48,43,FALSE),0)</f>
        <v>0</v>
      </c>
      <c r="S45" s="48">
        <f>IF($AT$52&gt;2,HLOOKUP($AT$57,$B$3:$Q$48,43,FALSE),0)</f>
        <v>0</v>
      </c>
      <c r="T45" s="525">
        <f t="shared" si="19"/>
      </c>
      <c r="U45" s="526"/>
      <c r="V45" s="527">
        <f t="shared" si="20"/>
      </c>
      <c r="W45" s="527"/>
      <c r="X45" s="42"/>
      <c r="Y45" s="62"/>
      <c r="Z45" s="6">
        <f t="shared" si="21"/>
        <v>4</v>
      </c>
      <c r="AA45" s="49">
        <f t="shared" si="22"/>
      </c>
      <c r="AB45" s="50">
        <f t="shared" si="0"/>
      </c>
      <c r="AC45" s="6">
        <f t="shared" si="35"/>
        <v>4</v>
      </c>
      <c r="AD45" s="51">
        <f t="shared" si="1"/>
      </c>
      <c r="AE45" s="52">
        <f t="shared" si="2"/>
      </c>
      <c r="AF45" s="6">
        <f t="shared" si="23"/>
        <v>4</v>
      </c>
      <c r="AG45" s="49">
        <f t="shared" si="3"/>
      </c>
      <c r="AH45" s="50">
        <f t="shared" si="4"/>
      </c>
      <c r="AI45" s="6">
        <f t="shared" si="24"/>
        <v>4</v>
      </c>
      <c r="AJ45" s="51">
        <f t="shared" si="5"/>
      </c>
      <c r="AK45" s="52">
        <f t="shared" si="6"/>
      </c>
      <c r="AL45" s="6">
        <f t="shared" si="25"/>
        <v>4</v>
      </c>
      <c r="AM45" s="49">
        <f t="shared" si="7"/>
      </c>
      <c r="AN45" s="50">
        <f t="shared" si="8"/>
      </c>
      <c r="AO45" s="6">
        <f t="shared" si="26"/>
        <v>0</v>
      </c>
      <c r="AP45" s="51">
        <f t="shared" si="9"/>
      </c>
      <c r="AQ45" s="52">
        <f t="shared" si="10"/>
      </c>
      <c r="AR45" s="6">
        <f t="shared" si="27"/>
        <v>0</v>
      </c>
      <c r="AS45" s="49">
        <f t="shared" si="11"/>
      </c>
      <c r="AT45" s="50">
        <f t="shared" si="12"/>
      </c>
      <c r="AU45" s="6">
        <f t="shared" si="28"/>
        <v>0</v>
      </c>
      <c r="AV45" s="51">
        <f t="shared" si="13"/>
      </c>
      <c r="AW45" s="52">
        <f t="shared" si="14"/>
      </c>
      <c r="AX45" s="6">
        <f t="shared" si="29"/>
        <v>0</v>
      </c>
      <c r="AY45" s="49">
        <f t="shared" si="15"/>
      </c>
      <c r="AZ45" s="50">
        <f t="shared" si="16"/>
      </c>
      <c r="BA45" s="6">
        <f t="shared" si="30"/>
        <v>0</v>
      </c>
      <c r="BB45" s="51">
        <f t="shared" si="17"/>
      </c>
      <c r="BC45" s="53">
        <f t="shared" si="18"/>
      </c>
      <c r="BE45" s="42">
        <f>IF(AR48&gt;6,VLOOKUP(7,AR4:AT48,2,FALSE),"")</f>
      </c>
      <c r="BF45" s="43">
        <f>IF(AR48&gt;6,VLOOKUP(7,AR4:AT48,3,FALSE),"")</f>
      </c>
      <c r="BG45" s="42">
        <f t="shared" si="44"/>
      </c>
      <c r="BH45" s="62">
        <f t="shared" si="45"/>
      </c>
      <c r="BI45" s="17"/>
      <c r="BJ45" s="42">
        <f>IF(AU48&gt;6,VLOOKUP(7,AU4:AW48,2,FALSE),"")</f>
      </c>
      <c r="BK45" s="43">
        <f>IF(AU48&gt;6,VLOOKUP(7,AU4:AW48,3,FALSE),"")</f>
      </c>
      <c r="BL45" s="42">
        <f t="shared" si="46"/>
      </c>
      <c r="BM45" s="62">
        <f t="shared" si="47"/>
      </c>
    </row>
    <row r="46" spans="1:65" ht="9.75" customHeight="1">
      <c r="A46" s="3"/>
      <c r="B46" s="5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44">
        <v>5</v>
      </c>
      <c r="Q46" s="45">
        <v>6</v>
      </c>
      <c r="R46" s="47">
        <f>IF($AT$52&gt;2,HLOOKUP($AT$52,$B$3:$Q$48,44,FALSE),0)</f>
        <v>0</v>
      </c>
      <c r="S46" s="48">
        <f>IF($AT$52&gt;2,HLOOKUP($AT$57,$B$3:$Q$48,44,FALSE),0)</f>
        <v>0</v>
      </c>
      <c r="T46" s="525">
        <f t="shared" si="19"/>
      </c>
      <c r="U46" s="526"/>
      <c r="V46" s="527">
        <f t="shared" si="20"/>
      </c>
      <c r="W46" s="527"/>
      <c r="X46" s="42"/>
      <c r="Y46" s="62"/>
      <c r="Z46" s="6">
        <f t="shared" si="21"/>
        <v>4</v>
      </c>
      <c r="AA46" s="49">
        <f t="shared" si="22"/>
      </c>
      <c r="AB46" s="50">
        <f t="shared" si="0"/>
      </c>
      <c r="AC46" s="6">
        <f t="shared" si="35"/>
        <v>4</v>
      </c>
      <c r="AD46" s="51">
        <f t="shared" si="1"/>
      </c>
      <c r="AE46" s="52">
        <f t="shared" si="2"/>
      </c>
      <c r="AF46" s="6">
        <f t="shared" si="23"/>
        <v>4</v>
      </c>
      <c r="AG46" s="49">
        <f t="shared" si="3"/>
      </c>
      <c r="AH46" s="50">
        <f t="shared" si="4"/>
      </c>
      <c r="AI46" s="6">
        <f t="shared" si="24"/>
        <v>4</v>
      </c>
      <c r="AJ46" s="51">
        <f t="shared" si="5"/>
      </c>
      <c r="AK46" s="52">
        <f t="shared" si="6"/>
      </c>
      <c r="AL46" s="6">
        <f t="shared" si="25"/>
        <v>4</v>
      </c>
      <c r="AM46" s="49">
        <f t="shared" si="7"/>
      </c>
      <c r="AN46" s="50">
        <f t="shared" si="8"/>
      </c>
      <c r="AO46" s="6">
        <f t="shared" si="26"/>
        <v>0</v>
      </c>
      <c r="AP46" s="51">
        <f t="shared" si="9"/>
      </c>
      <c r="AQ46" s="52">
        <f t="shared" si="10"/>
      </c>
      <c r="AR46" s="6">
        <f t="shared" si="27"/>
        <v>0</v>
      </c>
      <c r="AS46" s="49">
        <f t="shared" si="11"/>
      </c>
      <c r="AT46" s="50">
        <f t="shared" si="12"/>
      </c>
      <c r="AU46" s="6">
        <f t="shared" si="28"/>
        <v>0</v>
      </c>
      <c r="AV46" s="51">
        <f t="shared" si="13"/>
      </c>
      <c r="AW46" s="52">
        <f t="shared" si="14"/>
      </c>
      <c r="AX46" s="6">
        <f t="shared" si="29"/>
        <v>0</v>
      </c>
      <c r="AY46" s="49">
        <f t="shared" si="15"/>
      </c>
      <c r="AZ46" s="50">
        <f t="shared" si="16"/>
      </c>
      <c r="BA46" s="6">
        <f t="shared" si="30"/>
        <v>0</v>
      </c>
      <c r="BB46" s="51">
        <f t="shared" si="17"/>
      </c>
      <c r="BC46" s="53">
        <f t="shared" si="18"/>
      </c>
      <c r="BE46" s="42">
        <f>IF(AR48&gt;7,VLOOKUP(8,AR4:AT48,2,FALSE),"")</f>
      </c>
      <c r="BF46" s="43">
        <f>IF(AR48&gt;7,VLOOKUP(8,AR4:AT48,3,FALSE),"")</f>
      </c>
      <c r="BG46" s="42">
        <f t="shared" si="44"/>
      </c>
      <c r="BH46" s="62">
        <f t="shared" si="45"/>
      </c>
      <c r="BI46" s="17"/>
      <c r="BJ46" s="42">
        <f>IF(AU48&gt;7,VLOOKUP(8,AU4:AW48,2,FALSE),"")</f>
      </c>
      <c r="BK46" s="43">
        <f>IF(AU48&gt;7,VLOOKUP(8,AU4:AW48,3,FALSE),"")</f>
      </c>
      <c r="BL46" s="42">
        <f t="shared" si="46"/>
      </c>
      <c r="BM46" s="62">
        <f t="shared" si="47"/>
      </c>
    </row>
    <row r="47" spans="1:65" ht="9.75" customHeight="1" thickBot="1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4">
        <v>3</v>
      </c>
      <c r="Q47" s="45">
        <v>4</v>
      </c>
      <c r="R47" s="47">
        <f>IF($AT$52&gt;2,HLOOKUP($AT$52,$B$3:$Q$48,45,FALSE),0)</f>
        <v>0</v>
      </c>
      <c r="S47" s="48">
        <f>IF($AT$52&gt;2,HLOOKUP($AT$57,$B$3:$Q$48,45,FALSE),0)</f>
        <v>0</v>
      </c>
      <c r="T47" s="525">
        <f t="shared" si="19"/>
      </c>
      <c r="U47" s="526"/>
      <c r="V47" s="527">
        <f t="shared" si="20"/>
      </c>
      <c r="W47" s="527"/>
      <c r="X47" s="42"/>
      <c r="Y47" s="62"/>
      <c r="Z47" s="6">
        <f t="shared" si="21"/>
        <v>4</v>
      </c>
      <c r="AA47" s="49">
        <f t="shared" si="22"/>
      </c>
      <c r="AB47" s="50">
        <f t="shared" si="0"/>
      </c>
      <c r="AC47" s="6">
        <f t="shared" si="35"/>
        <v>4</v>
      </c>
      <c r="AD47" s="51">
        <f t="shared" si="1"/>
      </c>
      <c r="AE47" s="52">
        <f t="shared" si="2"/>
      </c>
      <c r="AF47" s="6">
        <f t="shared" si="23"/>
        <v>4</v>
      </c>
      <c r="AG47" s="49">
        <f t="shared" si="3"/>
      </c>
      <c r="AH47" s="50">
        <f t="shared" si="4"/>
      </c>
      <c r="AI47" s="6">
        <f t="shared" si="24"/>
        <v>4</v>
      </c>
      <c r="AJ47" s="51">
        <f t="shared" si="5"/>
      </c>
      <c r="AK47" s="52">
        <f t="shared" si="6"/>
      </c>
      <c r="AL47" s="6">
        <f t="shared" si="25"/>
        <v>4</v>
      </c>
      <c r="AM47" s="49">
        <f t="shared" si="7"/>
      </c>
      <c r="AN47" s="50">
        <f t="shared" si="8"/>
      </c>
      <c r="AO47" s="6">
        <f t="shared" si="26"/>
        <v>0</v>
      </c>
      <c r="AP47" s="51">
        <f t="shared" si="9"/>
      </c>
      <c r="AQ47" s="52">
        <f t="shared" si="10"/>
      </c>
      <c r="AR47" s="6">
        <f t="shared" si="27"/>
        <v>0</v>
      </c>
      <c r="AS47" s="49">
        <f t="shared" si="11"/>
      </c>
      <c r="AT47" s="50">
        <f t="shared" si="12"/>
      </c>
      <c r="AU47" s="6">
        <f t="shared" si="28"/>
        <v>0</v>
      </c>
      <c r="AV47" s="51">
        <f t="shared" si="13"/>
      </c>
      <c r="AW47" s="52">
        <f t="shared" si="14"/>
      </c>
      <c r="AX47" s="6">
        <f t="shared" si="29"/>
        <v>0</v>
      </c>
      <c r="AY47" s="49">
        <f t="shared" si="15"/>
      </c>
      <c r="AZ47" s="50">
        <f t="shared" si="16"/>
      </c>
      <c r="BA47" s="6">
        <f t="shared" si="30"/>
        <v>0</v>
      </c>
      <c r="BB47" s="51">
        <f t="shared" si="17"/>
      </c>
      <c r="BC47" s="53">
        <f t="shared" si="18"/>
      </c>
      <c r="BE47" s="57">
        <f>IF(AR48&gt;8,VLOOKUP(9,AR4:AT48,2,FALSE),"")</f>
      </c>
      <c r="BF47" s="58">
        <f>IF(AR48&gt;8,VLOOKUP(9,AR4:AT48,3,FALSE),"")</f>
      </c>
      <c r="BG47" s="42">
        <f t="shared" si="44"/>
      </c>
      <c r="BH47" s="62">
        <f t="shared" si="45"/>
      </c>
      <c r="BI47" s="17"/>
      <c r="BJ47" s="57">
        <f>IF(AU48&gt;8,VLOOKUP(9,AU4:AW48,2,FALSE),"")</f>
      </c>
      <c r="BK47" s="58">
        <f>IF(AU48&gt;8,VLOOKUP(9,AU4:AW48,3,FALSE),"")</f>
      </c>
      <c r="BL47" s="42">
        <f t="shared" si="46"/>
      </c>
      <c r="BM47" s="62">
        <f t="shared" si="47"/>
      </c>
    </row>
    <row r="48" spans="1:65" ht="9.75" customHeight="1" thickBot="1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v>1</v>
      </c>
      <c r="Q48" s="55">
        <v>2</v>
      </c>
      <c r="R48" s="63">
        <f>IF($AT$52&gt;2,HLOOKUP($AT$52,$B$3:$Q$48,46,FALSE),0)</f>
        <v>0</v>
      </c>
      <c r="S48" s="64">
        <f>IF($AT$52&gt;2,HLOOKUP($AT$57,$B$3:$Q$48,46,FALSE),0)</f>
        <v>0</v>
      </c>
      <c r="T48" s="514">
        <f t="shared" si="19"/>
      </c>
      <c r="U48" s="515"/>
      <c r="V48" s="516">
        <f t="shared" si="20"/>
      </c>
      <c r="W48" s="516"/>
      <c r="X48" s="65"/>
      <c r="Y48" s="66"/>
      <c r="Z48" s="9">
        <f t="shared" si="21"/>
        <v>4</v>
      </c>
      <c r="AA48" s="67">
        <f t="shared" si="22"/>
      </c>
      <c r="AB48" s="68">
        <f t="shared" si="0"/>
      </c>
      <c r="AC48" s="10">
        <f t="shared" si="35"/>
        <v>4</v>
      </c>
      <c r="AD48" s="69">
        <f t="shared" si="1"/>
      </c>
      <c r="AE48" s="70">
        <f t="shared" si="2"/>
      </c>
      <c r="AF48" s="10">
        <f t="shared" si="23"/>
        <v>4</v>
      </c>
      <c r="AG48" s="67">
        <f t="shared" si="3"/>
      </c>
      <c r="AH48" s="68">
        <f t="shared" si="4"/>
      </c>
      <c r="AI48" s="10">
        <f t="shared" si="24"/>
        <v>4</v>
      </c>
      <c r="AJ48" s="69">
        <f t="shared" si="5"/>
      </c>
      <c r="AK48" s="71">
        <f t="shared" si="6"/>
      </c>
      <c r="AL48" s="10">
        <f t="shared" si="25"/>
        <v>4</v>
      </c>
      <c r="AM48" s="67">
        <f t="shared" si="7"/>
      </c>
      <c r="AN48" s="68">
        <f t="shared" si="8"/>
      </c>
      <c r="AO48" s="10">
        <f t="shared" si="26"/>
        <v>0</v>
      </c>
      <c r="AP48" s="69">
        <f t="shared" si="9"/>
      </c>
      <c r="AQ48" s="71">
        <f t="shared" si="10"/>
      </c>
      <c r="AR48" s="10">
        <f t="shared" si="27"/>
        <v>0</v>
      </c>
      <c r="AS48" s="67">
        <f t="shared" si="11"/>
      </c>
      <c r="AT48" s="68">
        <f t="shared" si="12"/>
      </c>
      <c r="AU48" s="10">
        <f t="shared" si="28"/>
        <v>0</v>
      </c>
      <c r="AV48" s="69">
        <f t="shared" si="13"/>
      </c>
      <c r="AW48" s="71">
        <f t="shared" si="14"/>
      </c>
      <c r="AX48" s="11">
        <f t="shared" si="29"/>
        <v>0</v>
      </c>
      <c r="AY48" s="67">
        <f t="shared" si="15"/>
      </c>
      <c r="AZ48" s="68">
        <f t="shared" si="16"/>
      </c>
      <c r="BA48" s="11">
        <f t="shared" si="30"/>
        <v>0</v>
      </c>
      <c r="BB48" s="69">
        <f t="shared" si="17"/>
      </c>
      <c r="BC48" s="70">
        <f t="shared" si="18"/>
      </c>
      <c r="BE48" s="18">
        <f>IF(ISNUMBER(BE39),SUM(BE39:BE47),"")</f>
      </c>
      <c r="BF48" s="19">
        <f>IF(ISNUMBER(BF39),SUM(BF39:BF47),"")</f>
      </c>
      <c r="BG48" s="18">
        <f>IF(ISNUMBER(BG39),SUM(BG39:BG47),"")</f>
      </c>
      <c r="BH48" s="20">
        <f>IF(ISNUMBER(BH39),SUM(BH39:BH47),"")</f>
      </c>
      <c r="BI48" s="3"/>
      <c r="BJ48" s="18">
        <f>IF(ISNUMBER(BJ39),SUM(BJ39:BJ47),"")</f>
      </c>
      <c r="BK48" s="19">
        <f>IF(ISNUMBER(BK39),SUM(BK39:BK47),"")</f>
      </c>
      <c r="BL48" s="18">
        <f>IF(ISNUMBER(BL39),SUM(BL39:BL47),"")</f>
      </c>
      <c r="BM48" s="20">
        <f>IF(ISNUMBER(BM39),SUM(BM39:BM47),"")</f>
      </c>
    </row>
    <row r="49" spans="1:65" ht="9.75" customHeight="1" thickBot="1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2"/>
      <c r="Q49" s="72"/>
      <c r="R49" s="72"/>
      <c r="S49" s="72"/>
      <c r="T49" s="73"/>
      <c r="U49" s="73"/>
      <c r="V49" s="73"/>
      <c r="W49" s="7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 thickBot="1">
      <c r="A50" s="3"/>
      <c r="B50" s="501" t="s">
        <v>52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05"/>
      <c r="N50" s="506" t="s">
        <v>66</v>
      </c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8"/>
      <c r="AE50" s="501" t="s">
        <v>53</v>
      </c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10"/>
      <c r="AR50" s="17"/>
      <c r="AS50" s="511" t="s">
        <v>54</v>
      </c>
      <c r="AT50" s="512"/>
      <c r="AU50" s="513"/>
      <c r="AW50" s="501" t="s">
        <v>55</v>
      </c>
      <c r="AX50" s="523"/>
      <c r="AY50" s="523"/>
      <c r="AZ50" s="523"/>
      <c r="BA50" s="523"/>
      <c r="BB50" s="523"/>
      <c r="BC50" s="524"/>
      <c r="BE50" s="498">
        <f>C60</f>
        <v>0</v>
      </c>
      <c r="BF50" s="499"/>
      <c r="BG50" s="499"/>
      <c r="BH50" s="500"/>
      <c r="BI50" s="17"/>
      <c r="BJ50" s="498">
        <f>C61</f>
        <v>0</v>
      </c>
      <c r="BK50" s="499"/>
      <c r="BL50" s="499"/>
      <c r="BM50" s="500"/>
    </row>
    <row r="51" spans="2:65" ht="9.75" customHeight="1" thickBot="1">
      <c r="B51" s="16" t="s">
        <v>56</v>
      </c>
      <c r="C51" s="501" t="s">
        <v>2</v>
      </c>
      <c r="D51" s="502"/>
      <c r="E51" s="502"/>
      <c r="F51" s="502"/>
      <c r="G51" s="502"/>
      <c r="H51" s="503"/>
      <c r="I51" s="489" t="s">
        <v>57</v>
      </c>
      <c r="J51" s="489"/>
      <c r="K51" s="504"/>
      <c r="L51" s="501" t="s">
        <v>12</v>
      </c>
      <c r="M51" s="505"/>
      <c r="N51" s="506" t="s">
        <v>57</v>
      </c>
      <c r="O51" s="507"/>
      <c r="P51" s="507"/>
      <c r="Q51" s="506" t="s">
        <v>12</v>
      </c>
      <c r="R51" s="508"/>
      <c r="S51" s="507" t="s">
        <v>2</v>
      </c>
      <c r="T51" s="507"/>
      <c r="U51" s="507"/>
      <c r="V51" s="517"/>
      <c r="W51" s="517"/>
      <c r="X51" s="517"/>
      <c r="Y51" s="81" t="s">
        <v>4</v>
      </c>
      <c r="Z51" s="82" t="s">
        <v>5</v>
      </c>
      <c r="AA51" s="81" t="s">
        <v>6</v>
      </c>
      <c r="AB51" s="83" t="s">
        <v>7</v>
      </c>
      <c r="AC51" s="498" t="s">
        <v>3</v>
      </c>
      <c r="AD51" s="499"/>
      <c r="AE51" s="501" t="s">
        <v>11</v>
      </c>
      <c r="AF51" s="518"/>
      <c r="AG51" s="505"/>
      <c r="AH51" s="501" t="s">
        <v>2</v>
      </c>
      <c r="AI51" s="528"/>
      <c r="AJ51" s="528"/>
      <c r="AK51" s="528"/>
      <c r="AL51" s="528"/>
      <c r="AM51" s="529"/>
      <c r="AN51" s="501" t="s">
        <v>9</v>
      </c>
      <c r="AO51" s="505"/>
      <c r="AP51" s="501" t="s">
        <v>10</v>
      </c>
      <c r="AQ51" s="505"/>
      <c r="AS51" s="530" t="s">
        <v>58</v>
      </c>
      <c r="AT51" s="531"/>
      <c r="AU51" s="532"/>
      <c r="AW51" s="519" t="s">
        <v>60</v>
      </c>
      <c r="AX51" s="520"/>
      <c r="AY51" s="520"/>
      <c r="AZ51" s="520"/>
      <c r="BA51" s="520"/>
      <c r="BB51" s="521">
        <v>0.001388888888888889</v>
      </c>
      <c r="BC51" s="522"/>
      <c r="BE51" s="27">
        <f>IF(AX48&gt;0,VLOOKUP(1,AX4:AZ48,2,FALSE),"")</f>
      </c>
      <c r="BF51" s="28">
        <f>IF(AX48&gt;0,VLOOKUP(1,AX4:AZ48,3,FALSE),"")</f>
      </c>
      <c r="BG51" s="27">
        <f>IF(ISNUMBER(BF51),IF(BE51=BF51,1,IF(BE51&gt;BF51,$BB$52,0)),"")</f>
      </c>
      <c r="BH51" s="89">
        <f>IF(ISNUMBER(BF51),IF(BE51=BF51,1,IF(BE51&lt;BF51,$BB$52,0)),"")</f>
      </c>
      <c r="BI51" s="17"/>
      <c r="BJ51" s="27">
        <f>IF(BA48&gt;0,VLOOKUP(1,BA4:BC48,2,FALSE),"")</f>
      </c>
      <c r="BK51" s="28">
        <f>IF(BA48&gt;0,VLOOKUP(1,BA4:BC48,3,FALSE),"")</f>
      </c>
      <c r="BL51" s="27">
        <f>IF(ISNUMBER(BK51),IF(BJ51=BK51,1,IF(BJ51&gt;BK51,$BB$52,0)),"")</f>
      </c>
      <c r="BM51" s="89">
        <f>IF(ISNUMBER(BK51),IF(BJ51=BK51,1,IF(BJ51&lt;BK51,$BB$52,0)),"")</f>
      </c>
    </row>
    <row r="52" spans="2:65" ht="9.75" customHeight="1">
      <c r="B52" s="29">
        <v>1</v>
      </c>
      <c r="C52" s="468" t="str">
        <f>REPT('Lizenz Nr.- Eingabe'!C15,1)</f>
        <v>RV Etelsen I</v>
      </c>
      <c r="D52" s="469"/>
      <c r="E52" s="469"/>
      <c r="F52" s="469"/>
      <c r="G52" s="469"/>
      <c r="H52" s="470"/>
      <c r="I52" s="493">
        <f>IF(AND(AT52&gt;2,ISNUMBER(BF12)),BG12*1000+((BE12-BF12)*10)+BE12,-10000.1)</f>
        <v>9010</v>
      </c>
      <c r="J52" s="493"/>
      <c r="K52" s="494"/>
      <c r="L52" s="460">
        <f>IF(I52&lt;&gt;-10000.1,RANK(I52,$I$52:$K$61,0),"")</f>
        <v>2</v>
      </c>
      <c r="M52" s="461"/>
      <c r="N52" s="495">
        <f>I52+0.1</f>
        <v>9010.1</v>
      </c>
      <c r="O52" s="496"/>
      <c r="P52" s="497"/>
      <c r="Q52" s="445">
        <f>RANK(N52,$N$52:$P$61,0)</f>
        <v>2</v>
      </c>
      <c r="R52" s="449"/>
      <c r="S52" s="450" t="str">
        <f>IF(I52&lt;&gt;-10000.1,C52,"")</f>
        <v>RV Etelsen I</v>
      </c>
      <c r="T52" s="450"/>
      <c r="U52" s="450"/>
      <c r="V52" s="451"/>
      <c r="W52" s="451"/>
      <c r="X52" s="451"/>
      <c r="Y52" s="7">
        <f>IF(I52&lt;&gt;-1000.1,BE12,"")</f>
        <v>10</v>
      </c>
      <c r="Z52" s="84" t="str">
        <f>REPT(BF12,1)</f>
        <v>10</v>
      </c>
      <c r="AA52" s="85" t="str">
        <f>REPT(BG12,1)</f>
        <v>9</v>
      </c>
      <c r="AB52" s="86" t="str">
        <f>REPT(BH12,1)</f>
        <v>3</v>
      </c>
      <c r="AC52" s="444">
        <f>COUNTIF($L$52:$M$61,B52)</f>
        <v>1</v>
      </c>
      <c r="AD52" s="445"/>
      <c r="AE52" s="490" t="s">
        <v>15</v>
      </c>
      <c r="AF52" s="491"/>
      <c r="AG52" s="492"/>
      <c r="AH52" s="435" t="str">
        <f>VLOOKUP(1,$Q$52:$AB$61,3,FALSE)</f>
        <v>RVM Bilshausen I</v>
      </c>
      <c r="AI52" s="436"/>
      <c r="AJ52" s="436"/>
      <c r="AK52" s="436"/>
      <c r="AL52" s="436"/>
      <c r="AM52" s="437"/>
      <c r="AN52" s="75">
        <f>VLOOKUP(1,$Q$52:$AB$61,9,FALSE)</f>
        <v>35</v>
      </c>
      <c r="AO52" s="76" t="str">
        <f>VLOOKUP(1,$Q$52:$AB$61,10,FALSE)</f>
        <v>0</v>
      </c>
      <c r="AP52" s="75" t="str">
        <f>VLOOKUP(1,$Q$52:$AB$61,11,FALSE)</f>
        <v>12</v>
      </c>
      <c r="AQ52" s="35" t="str">
        <f>VLOOKUP(1,$Q$52:$AB$61,12,FALSE)</f>
        <v>0</v>
      </c>
      <c r="AS52" s="77">
        <f>IF(OR(C52="",C52=" ",C52="  "),0,1)</f>
        <v>1</v>
      </c>
      <c r="AT52" s="428">
        <f>SUM(AS52:AS61)</f>
        <v>5</v>
      </c>
      <c r="AU52" s="429"/>
      <c r="AW52" s="481" t="s">
        <v>71</v>
      </c>
      <c r="AX52" s="482"/>
      <c r="AY52" s="482"/>
      <c r="AZ52" s="482"/>
      <c r="BA52" s="482"/>
      <c r="BB52" s="538">
        <f>'Lizenz Nr.- Eingabe'!AL3</f>
        <v>3</v>
      </c>
      <c r="BC52" s="539"/>
      <c r="BE52" s="42">
        <f>IF(AX48&gt;1,VLOOKUP(2,AX4:AZ48,2,FALSE),"")</f>
      </c>
      <c r="BF52" s="43">
        <f>IF(AX48&gt;1,VLOOKUP(2,AX4:AZ48,3,FALSE),"")</f>
      </c>
      <c r="BG52" s="42">
        <f>IF(ISNUMBER(BF52),IF(BE52=BF52,1,IF(BE52&gt;BF52,$BB$52,0)),"")</f>
      </c>
      <c r="BH52" s="62">
        <f>IF(ISNUMBER(BF52),IF(BE52=BF52,1,IF(BE52&lt;BF52,$BB$52,0)),"")</f>
      </c>
      <c r="BI52" s="17"/>
      <c r="BJ52" s="42">
        <f>IF(BA48&gt;1,VLOOKUP(2,BA4:BC48,2,FALSE),"")</f>
      </c>
      <c r="BK52" s="43">
        <f>IF(BA48&gt;1,VLOOKUP(2,BA4:BC48,3,FALSE),"")</f>
      </c>
      <c r="BL52" s="42">
        <f>IF(ISNUMBER(BK52),IF(BJ52=BK52,1,IF(BJ52&gt;BK52,$BB$52,0)),"")</f>
      </c>
      <c r="BM52" s="62">
        <f>IF(ISNUMBER(BK52),IF(BJ52=BK52,1,IF(BJ52&lt;BK52,$BB$52,0)),"")</f>
      </c>
    </row>
    <row r="53" spans="2:65" ht="9.75" customHeight="1">
      <c r="B53" s="42">
        <v>2</v>
      </c>
      <c r="C53" s="468" t="str">
        <f>REPT('Lizenz Nr.- Eingabe'!C17,1)</f>
        <v>RVM Bilshausen I</v>
      </c>
      <c r="D53" s="469"/>
      <c r="E53" s="469"/>
      <c r="F53" s="469"/>
      <c r="G53" s="469"/>
      <c r="H53" s="470"/>
      <c r="I53" s="458">
        <f>IF(AND(AT52&gt;2,ISNUMBER(BK12)),BL12*1000+((BJ12-BK12)*10)+BJ12,-10000.1)</f>
        <v>12385</v>
      </c>
      <c r="J53" s="458"/>
      <c r="K53" s="459"/>
      <c r="L53" s="460">
        <f aca="true" t="shared" si="48" ref="L53:L61">IF(I53&lt;&gt;-10000.1,RANK(I53,$I$52:$K$61,0),"")</f>
        <v>1</v>
      </c>
      <c r="M53" s="461"/>
      <c r="N53" s="462">
        <f>I53</f>
        <v>12385</v>
      </c>
      <c r="O53" s="463"/>
      <c r="P53" s="464"/>
      <c r="Q53" s="445">
        <f aca="true" t="shared" si="49" ref="Q53:Q61">RANK(N53,$N$52:$P$61,0)</f>
        <v>1</v>
      </c>
      <c r="R53" s="449"/>
      <c r="S53" s="450" t="str">
        <f aca="true" t="shared" si="50" ref="S53:S61">IF(I53&lt;&gt;-10000.1,C53,"")</f>
        <v>RVM Bilshausen I</v>
      </c>
      <c r="T53" s="450"/>
      <c r="U53" s="450"/>
      <c r="V53" s="451"/>
      <c r="W53" s="451"/>
      <c r="X53" s="451"/>
      <c r="Y53" s="7">
        <f>IF(I53&lt;&gt;-1000.1,BJ12,"")</f>
        <v>35</v>
      </c>
      <c r="Z53" s="87" t="str">
        <f>REPT(BK12,1)</f>
        <v>0</v>
      </c>
      <c r="AA53" s="51" t="str">
        <f>REPT(BL12,1)</f>
        <v>12</v>
      </c>
      <c r="AB53" s="53" t="str">
        <f>REPT(BM12,1)</f>
        <v>0</v>
      </c>
      <c r="AC53" s="444">
        <f aca="true" t="shared" si="51" ref="AC53:AC60">COUNTIF($L$52:$M$61,B53)</f>
        <v>1</v>
      </c>
      <c r="AD53" s="445"/>
      <c r="AE53" s="465" t="str">
        <f>IF(AND($AT$52&gt;1,ISNUMBER(AN53)),IF(AC53&gt;0,"2.",AE52),"2.")</f>
        <v>2.</v>
      </c>
      <c r="AF53" s="466"/>
      <c r="AG53" s="467"/>
      <c r="AH53" s="435" t="str">
        <f>VLOOKUP(2,$Q$52:$AB$61,3,FALSE)</f>
        <v>RV Etelsen I</v>
      </c>
      <c r="AI53" s="436"/>
      <c r="AJ53" s="436"/>
      <c r="AK53" s="436"/>
      <c r="AL53" s="436"/>
      <c r="AM53" s="437"/>
      <c r="AN53" s="75">
        <f>VLOOKUP(2,$Q$52:$AB$61,9,FALSE)</f>
        <v>10</v>
      </c>
      <c r="AO53" s="76" t="str">
        <f>VLOOKUP(2,$Q$52:$AB$61,10,FALSE)</f>
        <v>10</v>
      </c>
      <c r="AP53" s="75" t="str">
        <f>VLOOKUP(2,$Q$52:$AB$61,11,FALSE)</f>
        <v>9</v>
      </c>
      <c r="AQ53" s="35" t="str">
        <f>VLOOKUP(2,$Q$52:$AB$61,12,FALSE)</f>
        <v>3</v>
      </c>
      <c r="AS53" s="77">
        <f aca="true" t="shared" si="52" ref="AS53:AS61">IF(OR(C53="",C53=" ",C53="  "),0,1)</f>
        <v>1</v>
      </c>
      <c r="AT53" s="428"/>
      <c r="AU53" s="429"/>
      <c r="AW53" s="12"/>
      <c r="AX53" s="2"/>
      <c r="AY53" s="2"/>
      <c r="AZ53" s="2"/>
      <c r="BA53" s="2"/>
      <c r="BB53" s="2"/>
      <c r="BC53" s="13"/>
      <c r="BE53" s="42">
        <f>IF(AX48&gt;2,VLOOKUP(3,AX4:AZ48,2,FALSE),"")</f>
      </c>
      <c r="BF53" s="43">
        <f>IF(AX48&gt;2,VLOOKUP(3,AX4:AZ48,3,FALSE),"")</f>
      </c>
      <c r="BG53" s="42">
        <f aca="true" t="shared" si="53" ref="BG53:BG59">IF(ISNUMBER(BF53),IF(BE53=BF53,1,IF(BE53&gt;BF53,$BB$52,0)),"")</f>
      </c>
      <c r="BH53" s="62">
        <f aca="true" t="shared" si="54" ref="BH53:BH59">IF(ISNUMBER(BF53),IF(BE53=BF53,1,IF(BE53&lt;BF53,$BB$52,0)),"")</f>
      </c>
      <c r="BI53" s="17"/>
      <c r="BJ53" s="42">
        <f>IF(BA48&gt;2,VLOOKUP(3,BA4:BC48,2,FALSE),"")</f>
      </c>
      <c r="BK53" s="43">
        <f>IF(BA48&gt;2,VLOOKUP(3,BA4:BC48,3,FALSE),"")</f>
      </c>
      <c r="BL53" s="42">
        <f aca="true" t="shared" si="55" ref="BL53:BL59">IF(ISNUMBER(BK53),IF(BJ53=BK53,1,IF(BJ53&gt;BK53,$BB$52,0)),"")</f>
      </c>
      <c r="BM53" s="62">
        <f aca="true" t="shared" si="56" ref="BM53:BM58">IF(ISNUMBER(BK53),IF(BJ53=BK53,1,IF(BJ53&lt;BK53,$BB$52,0)),"")</f>
      </c>
    </row>
    <row r="54" spans="2:65" ht="9.75" customHeight="1" thickBot="1">
      <c r="B54" s="42">
        <v>3</v>
      </c>
      <c r="C54" s="468" t="str">
        <f>REPT('Lizenz Nr.- Eingabe'!C19,1)</f>
        <v>RCG Hahndorf I</v>
      </c>
      <c r="D54" s="469"/>
      <c r="E54" s="469"/>
      <c r="F54" s="469"/>
      <c r="G54" s="469"/>
      <c r="H54" s="470"/>
      <c r="I54" s="458">
        <f>IF(AND(AT52&gt;2,ISNUMBER(BF24)),BG24*1000+((BE24-BF24)*10)+BE24,-10000.1)</f>
        <v>-200</v>
      </c>
      <c r="J54" s="458"/>
      <c r="K54" s="459"/>
      <c r="L54" s="460">
        <f t="shared" si="48"/>
        <v>5</v>
      </c>
      <c r="M54" s="461"/>
      <c r="N54" s="462">
        <f>I54-0.1</f>
        <v>-200.1</v>
      </c>
      <c r="O54" s="463"/>
      <c r="P54" s="464"/>
      <c r="Q54" s="445">
        <f t="shared" si="49"/>
        <v>5</v>
      </c>
      <c r="R54" s="449"/>
      <c r="S54" s="450" t="str">
        <f t="shared" si="50"/>
        <v>RCG Hahndorf I</v>
      </c>
      <c r="T54" s="450"/>
      <c r="U54" s="450"/>
      <c r="V54" s="451"/>
      <c r="W54" s="451"/>
      <c r="X54" s="451"/>
      <c r="Y54" s="7">
        <f>IF(I54&lt;&gt;-1000.1,BE24,"")</f>
        <v>0</v>
      </c>
      <c r="Z54" s="87" t="str">
        <f>REPT(BF24,1)</f>
        <v>20</v>
      </c>
      <c r="AA54" s="51" t="str">
        <f>REPT(BG24,1)</f>
        <v>0</v>
      </c>
      <c r="AB54" s="53" t="str">
        <f>REPT(BH24,1)</f>
        <v>12</v>
      </c>
      <c r="AC54" s="444">
        <f t="shared" si="51"/>
        <v>1</v>
      </c>
      <c r="AD54" s="445"/>
      <c r="AE54" s="465" t="str">
        <f>IF(AND($AT$52&gt;2,ISNUMBER(AN54)),IF(AC54&gt;0,"3.",AE53),"3.")</f>
        <v>3.</v>
      </c>
      <c r="AF54" s="466"/>
      <c r="AG54" s="467"/>
      <c r="AH54" s="435" t="str">
        <f>VLOOKUP(3,$Q$52:$AB$61,3,FALSE)</f>
        <v>RVS Obernfeld I</v>
      </c>
      <c r="AI54" s="436"/>
      <c r="AJ54" s="436"/>
      <c r="AK54" s="436"/>
      <c r="AL54" s="436"/>
      <c r="AM54" s="437"/>
      <c r="AN54" s="75">
        <f>VLOOKUP(3,$Q$52:$AB$61,9,FALSE)</f>
        <v>8</v>
      </c>
      <c r="AO54" s="76" t="str">
        <f>VLOOKUP(3,$Q$52:$AB$61,10,FALSE)</f>
        <v>13</v>
      </c>
      <c r="AP54" s="75" t="str">
        <f>VLOOKUP(3,$Q$52:$AB$61,11,FALSE)</f>
        <v>6</v>
      </c>
      <c r="AQ54" s="35" t="str">
        <f>VLOOKUP(3,$Q$52:$AB$61,12,FALSE)</f>
        <v>6</v>
      </c>
      <c r="AS54" s="77">
        <f t="shared" si="52"/>
        <v>1</v>
      </c>
      <c r="AT54" s="428"/>
      <c r="AU54" s="429"/>
      <c r="AW54" s="12"/>
      <c r="AX54" s="2"/>
      <c r="AY54" s="2"/>
      <c r="AZ54" s="2"/>
      <c r="BA54" s="2"/>
      <c r="BB54" s="2"/>
      <c r="BC54" s="13"/>
      <c r="BE54" s="42">
        <f>IF(AX48&gt;3,VLOOKUP(4,AX4:AZ48,2,FALSE),"")</f>
      </c>
      <c r="BF54" s="43">
        <f>IF(AX48&gt;3,VLOOKUP(4,AX4:AZ48,3,FALSE),"")</f>
      </c>
      <c r="BG54" s="42">
        <f t="shared" si="53"/>
      </c>
      <c r="BH54" s="62">
        <f t="shared" si="54"/>
      </c>
      <c r="BI54" s="17"/>
      <c r="BJ54" s="42">
        <f>IF(BA48&gt;3,VLOOKUP(4,BA4:BC48,2,FALSE),"")</f>
      </c>
      <c r="BK54" s="43">
        <f>IF(BA48&gt;3,VLOOKUP(4,BA4:BC48,3,FALSE),"")</f>
      </c>
      <c r="BL54" s="42">
        <f t="shared" si="55"/>
      </c>
      <c r="BM54" s="62">
        <f t="shared" si="56"/>
      </c>
    </row>
    <row r="55" spans="2:65" ht="9.75" customHeight="1" thickBot="1">
      <c r="B55" s="42">
        <v>4</v>
      </c>
      <c r="C55" s="468" t="str">
        <f>REPT('Lizenz Nr.- Eingabe'!C21,1)</f>
        <v>RVS Obernfeld I</v>
      </c>
      <c r="D55" s="469"/>
      <c r="E55" s="469"/>
      <c r="F55" s="469"/>
      <c r="G55" s="469"/>
      <c r="H55" s="470"/>
      <c r="I55" s="458">
        <f>IF(AND(AT52&gt;3,ISNUMBER(BK24)),BL24*1000+((BJ24-BK24)*10)+BJ24,-10000.1)</f>
        <v>5958</v>
      </c>
      <c r="J55" s="458"/>
      <c r="K55" s="459"/>
      <c r="L55" s="460">
        <f t="shared" si="48"/>
        <v>3</v>
      </c>
      <c r="M55" s="461"/>
      <c r="N55" s="462">
        <f>I55-0.2</f>
        <v>5957.8</v>
      </c>
      <c r="O55" s="463"/>
      <c r="P55" s="464"/>
      <c r="Q55" s="445">
        <f t="shared" si="49"/>
        <v>3</v>
      </c>
      <c r="R55" s="449"/>
      <c r="S55" s="450" t="str">
        <f t="shared" si="50"/>
        <v>RVS Obernfeld I</v>
      </c>
      <c r="T55" s="450"/>
      <c r="U55" s="450"/>
      <c r="V55" s="451"/>
      <c r="W55" s="451"/>
      <c r="X55" s="451"/>
      <c r="Y55" s="7">
        <f>IF(I55&lt;&gt;-1000.1,BJ24,"")</f>
        <v>8</v>
      </c>
      <c r="Z55" s="87" t="str">
        <f>REPT(BK24,1)</f>
        <v>13</v>
      </c>
      <c r="AA55" s="51" t="str">
        <f>REPT(BL24,1)</f>
        <v>6</v>
      </c>
      <c r="AB55" s="53" t="str">
        <f>REPT(BM24,1)</f>
        <v>6</v>
      </c>
      <c r="AC55" s="444">
        <f t="shared" si="51"/>
        <v>1</v>
      </c>
      <c r="AD55" s="445"/>
      <c r="AE55" s="465" t="str">
        <f>IF(AND($AT$52&gt;3,ISNUMBER(AN55)),IF(AC55&gt;0,"4.",AE54),"4.")</f>
        <v>4.</v>
      </c>
      <c r="AF55" s="466"/>
      <c r="AG55" s="467"/>
      <c r="AH55" s="435" t="str">
        <f>VLOOKUP(4,$Q$52:$AB$61,3,FALSE)</f>
        <v>RV Etelsen II</v>
      </c>
      <c r="AI55" s="436"/>
      <c r="AJ55" s="436"/>
      <c r="AK55" s="436"/>
      <c r="AL55" s="436"/>
      <c r="AM55" s="437"/>
      <c r="AN55" s="75">
        <f>VLOOKUP(4,$Q$52:$AB$61,9,FALSE)</f>
        <v>6</v>
      </c>
      <c r="AO55" s="76" t="str">
        <f>VLOOKUP(4,$Q$52:$AB$61,10,FALSE)</f>
        <v>16</v>
      </c>
      <c r="AP55" s="75" t="str">
        <f>VLOOKUP(4,$Q$52:$AB$61,11,FALSE)</f>
        <v>3</v>
      </c>
      <c r="AQ55" s="35" t="str">
        <f>VLOOKUP(4,$Q$52:$AB$61,12,FALSE)</f>
        <v>9</v>
      </c>
      <c r="AS55" s="77">
        <f t="shared" si="52"/>
        <v>1</v>
      </c>
      <c r="AT55" s="428"/>
      <c r="AU55" s="429"/>
      <c r="AW55" s="485" t="s">
        <v>59</v>
      </c>
      <c r="AX55" s="486"/>
      <c r="AY55" s="486"/>
      <c r="AZ55" s="486"/>
      <c r="BA55" s="486"/>
      <c r="BB55" s="486"/>
      <c r="BC55" s="487"/>
      <c r="BE55" s="42">
        <f>IF(AX48&gt;4,VLOOKUP(5,AX4:AZ48,2,FALSE),"")</f>
      </c>
      <c r="BF55" s="43">
        <f>IF(AX48&gt;4,VLOOKUP(5,AX4:AZ48,3,FALSE),"")</f>
      </c>
      <c r="BG55" s="42">
        <f t="shared" si="53"/>
      </c>
      <c r="BH55" s="62">
        <f t="shared" si="54"/>
      </c>
      <c r="BI55" s="17"/>
      <c r="BJ55" s="42">
        <f>IF(BA48&gt;4,VLOOKUP(5,BA4:BC48,2,FALSE),"")</f>
      </c>
      <c r="BK55" s="43">
        <f>IF(BA48&gt;4,VLOOKUP(5,BA4:BC48,3,FALSE),"")</f>
      </c>
      <c r="BL55" s="42">
        <f t="shared" si="55"/>
      </c>
      <c r="BM55" s="62">
        <f t="shared" si="56"/>
      </c>
    </row>
    <row r="56" spans="2:65" ht="9.75" customHeight="1" thickBot="1">
      <c r="B56" s="42">
        <v>5</v>
      </c>
      <c r="C56" s="468" t="str">
        <f>REPT('Lizenz Nr.- Eingabe'!C23,1)</f>
        <v>RV Etelsen II</v>
      </c>
      <c r="D56" s="469"/>
      <c r="E56" s="469"/>
      <c r="F56" s="469"/>
      <c r="G56" s="469"/>
      <c r="H56" s="470"/>
      <c r="I56" s="458">
        <f>IF(AND(AT52&gt;4,ISNUMBER(BF36)),BG36*1000+((BE36-BF36)*10)+BE36,-10000.1)</f>
        <v>2906</v>
      </c>
      <c r="J56" s="458"/>
      <c r="K56" s="459"/>
      <c r="L56" s="460">
        <f t="shared" si="48"/>
        <v>4</v>
      </c>
      <c r="M56" s="461"/>
      <c r="N56" s="462">
        <f>I56-0.3</f>
        <v>2905.7</v>
      </c>
      <c r="O56" s="463"/>
      <c r="P56" s="464"/>
      <c r="Q56" s="445">
        <f t="shared" si="49"/>
        <v>4</v>
      </c>
      <c r="R56" s="449"/>
      <c r="S56" s="450" t="str">
        <f t="shared" si="50"/>
        <v>RV Etelsen II</v>
      </c>
      <c r="T56" s="450"/>
      <c r="U56" s="450"/>
      <c r="V56" s="451"/>
      <c r="W56" s="451"/>
      <c r="X56" s="451"/>
      <c r="Y56" s="7">
        <f>IF(I56&lt;&gt;-1000.1,BE36,"")</f>
        <v>6</v>
      </c>
      <c r="Z56" s="87" t="str">
        <f>REPT(BF36,1)</f>
        <v>16</v>
      </c>
      <c r="AA56" s="51" t="str">
        <f>REPT(BG36,1)</f>
        <v>3</v>
      </c>
      <c r="AB56" s="53" t="str">
        <f>REPT(BH36,1)</f>
        <v>9</v>
      </c>
      <c r="AC56" s="444">
        <f>COUNTIF($L$52:$M$61,B56)</f>
        <v>1</v>
      </c>
      <c r="AD56" s="445"/>
      <c r="AE56" s="465" t="str">
        <f>IF(AND($AT$52&gt;4,ISNUMBER(AN56)),IF(AC56&gt;0,"5.",AE55),"5.")</f>
        <v>5.</v>
      </c>
      <c r="AF56" s="466"/>
      <c r="AG56" s="467"/>
      <c r="AH56" s="435" t="str">
        <f>VLOOKUP(5,$Q$52:$AB$61,3,FALSE)</f>
        <v>RCG Hahndorf I</v>
      </c>
      <c r="AI56" s="436"/>
      <c r="AJ56" s="436"/>
      <c r="AK56" s="436"/>
      <c r="AL56" s="436"/>
      <c r="AM56" s="437"/>
      <c r="AN56" s="75">
        <f>VLOOKUP(5,$Q$52:$AB$61,9,FALSE)</f>
        <v>0</v>
      </c>
      <c r="AO56" s="76" t="str">
        <f>VLOOKUP(5,$Q$52:$AB$61,10,FALSE)</f>
        <v>20</v>
      </c>
      <c r="AP56" s="75" t="str">
        <f>VLOOKUP(5,$Q$52:$AB$61,11,FALSE)</f>
        <v>0</v>
      </c>
      <c r="AQ56" s="35" t="str">
        <f>VLOOKUP(5,$Q$52:$AB$61,12,FALSE)</f>
        <v>12</v>
      </c>
      <c r="AS56" s="77">
        <f t="shared" si="52"/>
        <v>1</v>
      </c>
      <c r="AT56" s="430"/>
      <c r="AU56" s="431"/>
      <c r="AW56" s="488" t="s">
        <v>62</v>
      </c>
      <c r="AX56" s="489"/>
      <c r="AY56" s="489"/>
      <c r="AZ56" s="489"/>
      <c r="BA56" s="489"/>
      <c r="BB56" s="483"/>
      <c r="BC56" s="484"/>
      <c r="BE56" s="42">
        <f>IF(AX48&gt;5,VLOOKUP(6,AX4:AZ48,2,FALSE),"")</f>
      </c>
      <c r="BF56" s="43">
        <f>IF(AX48&gt;5,VLOOKUP(6,AX4:AZ48,3,FALSE),"")</f>
      </c>
      <c r="BG56" s="42">
        <f t="shared" si="53"/>
      </c>
      <c r="BH56" s="62">
        <f t="shared" si="54"/>
      </c>
      <c r="BI56" s="17"/>
      <c r="BJ56" s="42">
        <f>IF(BA48&gt;5,VLOOKUP(6,BA4:BC48,2,FALSE),"")</f>
      </c>
      <c r="BK56" s="43">
        <f>IF(BA48&gt;5,VLOOKUP(6,BA4:BC48,3,FALSE),"")</f>
      </c>
      <c r="BL56" s="42">
        <f t="shared" si="55"/>
      </c>
      <c r="BM56" s="62">
        <f t="shared" si="56"/>
      </c>
    </row>
    <row r="57" spans="2:65" ht="9.75" customHeight="1">
      <c r="B57" s="42">
        <v>6</v>
      </c>
      <c r="C57" s="468">
        <f>REPT('Lizenz Nr.- Eingabe'!C25,1)</f>
      </c>
      <c r="D57" s="469"/>
      <c r="E57" s="469"/>
      <c r="F57" s="469"/>
      <c r="G57" s="469"/>
      <c r="H57" s="470"/>
      <c r="I57" s="458">
        <f>IF(AND(AT52&gt;5,ISNUMBER(BK36)),BL36*1000+((BJ36-BK36)*10)+BJ36,-10000.1)</f>
        <v>-10000.1</v>
      </c>
      <c r="J57" s="458"/>
      <c r="K57" s="459"/>
      <c r="L57" s="460">
        <f t="shared" si="48"/>
      </c>
      <c r="M57" s="461"/>
      <c r="N57" s="462">
        <f>I57-0.4</f>
        <v>-10000.5</v>
      </c>
      <c r="O57" s="463"/>
      <c r="P57" s="464"/>
      <c r="Q57" s="445">
        <f t="shared" si="49"/>
        <v>6</v>
      </c>
      <c r="R57" s="449"/>
      <c r="S57" s="450">
        <f t="shared" si="50"/>
      </c>
      <c r="T57" s="450"/>
      <c r="U57" s="450"/>
      <c r="V57" s="451"/>
      <c r="W57" s="451"/>
      <c r="X57" s="451"/>
      <c r="Y57" s="7">
        <f>IF(I57&lt;&gt;-1000.1,BJ36,"")</f>
      </c>
      <c r="Z57" s="87">
        <f>REPT(BK36,1)</f>
      </c>
      <c r="AA57" s="51">
        <f>REPT(BL36,1)</f>
      </c>
      <c r="AB57" s="53">
        <f>REPT(BM36,1)</f>
      </c>
      <c r="AC57" s="444">
        <f t="shared" si="51"/>
        <v>0</v>
      </c>
      <c r="AD57" s="445"/>
      <c r="AE57" s="465" t="str">
        <f>IF(AND($AT$52&gt;5,ISNUMBER(AN57)),IF(AC57&gt;0,"6.",AE56),"6.")</f>
        <v>6.</v>
      </c>
      <c r="AF57" s="466"/>
      <c r="AG57" s="467"/>
      <c r="AH57" s="435">
        <f>VLOOKUP(6,$Q$52:$AB$61,3,FALSE)</f>
      </c>
      <c r="AI57" s="436"/>
      <c r="AJ57" s="436"/>
      <c r="AK57" s="436"/>
      <c r="AL57" s="436"/>
      <c r="AM57" s="437"/>
      <c r="AN57" s="75">
        <f>VLOOKUP(6,$Q$52:$AB$61,9,FALSE)</f>
      </c>
      <c r="AO57" s="76">
        <f>VLOOKUP(6,$Q$52:$AB$61,10,FALSE)</f>
      </c>
      <c r="AP57" s="75">
        <f>VLOOKUP(6,$Q$52:$AB$61,11,FALSE)</f>
      </c>
      <c r="AQ57" s="35">
        <f>VLOOKUP(6,$Q$52:$AB$61,12,FALSE)</f>
      </c>
      <c r="AS57" s="77">
        <f>IF(OR(C57="",C57=" ",C57="  "),0,1)</f>
        <v>0</v>
      </c>
      <c r="AT57" s="426">
        <f>AT52*10</f>
        <v>50</v>
      </c>
      <c r="AU57" s="427"/>
      <c r="AW57" s="432" t="s">
        <v>61</v>
      </c>
      <c r="AX57" s="433"/>
      <c r="AY57" s="433"/>
      <c r="AZ57" s="433"/>
      <c r="BA57" s="433"/>
      <c r="BB57" s="433">
        <f>(AT52-1)*AT52/2</f>
        <v>10</v>
      </c>
      <c r="BC57" s="434"/>
      <c r="BE57" s="42">
        <f>IF(AX48&gt;6,VLOOKUP(7,AX4:AZ48,2,FALSE),"")</f>
      </c>
      <c r="BF57" s="43">
        <f>IF(AX48&gt;6,VLOOKUP(7,AX4:AZ48,3,FALSE),"")</f>
      </c>
      <c r="BG57" s="42">
        <f t="shared" si="53"/>
      </c>
      <c r="BH57" s="62">
        <f t="shared" si="54"/>
      </c>
      <c r="BI57" s="17"/>
      <c r="BJ57" s="42">
        <f>IF(BA48&gt;6,VLOOKUP(7,BA4:BC48,2,FALSE),"")</f>
      </c>
      <c r="BK57" s="43">
        <f>IF(BA48&gt;6,VLOOKUP(7,BA4:BC48,3,FALSE),"")</f>
      </c>
      <c r="BL57" s="42">
        <f t="shared" si="55"/>
      </c>
      <c r="BM57" s="62">
        <f t="shared" si="56"/>
      </c>
    </row>
    <row r="58" spans="2:65" ht="9.75" customHeight="1">
      <c r="B58" s="42">
        <v>7</v>
      </c>
      <c r="C58" s="468">
        <f>REPT('Lizenz Nr.- Eingabe'!C27,1)</f>
      </c>
      <c r="D58" s="469"/>
      <c r="E58" s="469"/>
      <c r="F58" s="469"/>
      <c r="G58" s="469"/>
      <c r="H58" s="470"/>
      <c r="I58" s="458">
        <f>IF(AND(AT52&gt;6,ISNUMBER(BF48)),BG48*1000+((BE48-BF48)*10)+BE48,-10000.1)</f>
        <v>-10000.1</v>
      </c>
      <c r="J58" s="458"/>
      <c r="K58" s="459"/>
      <c r="L58" s="460">
        <f t="shared" si="48"/>
      </c>
      <c r="M58" s="461"/>
      <c r="N58" s="462">
        <f>I58-0.5</f>
        <v>-10000.6</v>
      </c>
      <c r="O58" s="463"/>
      <c r="P58" s="464"/>
      <c r="Q58" s="445">
        <f t="shared" si="49"/>
        <v>7</v>
      </c>
      <c r="R58" s="449"/>
      <c r="S58" s="450">
        <f t="shared" si="50"/>
      </c>
      <c r="T58" s="450"/>
      <c r="U58" s="450"/>
      <c r="V58" s="451"/>
      <c r="W58" s="451"/>
      <c r="X58" s="451"/>
      <c r="Y58" s="7">
        <f>IF(I58&lt;&gt;-1000.1,BE48,"")</f>
      </c>
      <c r="Z58" s="87">
        <f>REPT(BF48,1)</f>
      </c>
      <c r="AA58" s="51">
        <f>REPT(BG48,1)</f>
      </c>
      <c r="AB58" s="53">
        <f>REPT(BH48,1)</f>
      </c>
      <c r="AC58" s="444">
        <f t="shared" si="51"/>
        <v>0</v>
      </c>
      <c r="AD58" s="445"/>
      <c r="AE58" s="465" t="str">
        <f>IF(AND($AT$52&gt;6,ISNUMBER(AN58)),IF(AC58&gt;0,"7.",AE57),"7.")</f>
        <v>7.</v>
      </c>
      <c r="AF58" s="466"/>
      <c r="AG58" s="467"/>
      <c r="AH58" s="435">
        <f>VLOOKUP(7,$Q$52:$AB$61,3,FALSE)</f>
      </c>
      <c r="AI58" s="436"/>
      <c r="AJ58" s="436"/>
      <c r="AK58" s="436"/>
      <c r="AL58" s="436"/>
      <c r="AM58" s="437"/>
      <c r="AN58" s="75">
        <f>VLOOKUP(7,$Q$52:$AB$61,9,FALSE)</f>
      </c>
      <c r="AO58" s="76">
        <f>VLOOKUP(7,$Q$52:$AB$61,10,FALSE)</f>
      </c>
      <c r="AP58" s="75">
        <f>VLOOKUP(7,$Q$52:$AB$61,11,FALSE)</f>
      </c>
      <c r="AQ58" s="35">
        <f>VLOOKUP(7,$Q$52:$AB$61,12,FALSE)</f>
      </c>
      <c r="AS58" s="77">
        <f t="shared" si="52"/>
        <v>0</v>
      </c>
      <c r="AT58" s="428"/>
      <c r="AU58" s="429"/>
      <c r="AW58" s="438" t="s">
        <v>60</v>
      </c>
      <c r="AX58" s="439"/>
      <c r="AY58" s="439"/>
      <c r="AZ58" s="439"/>
      <c r="BA58" s="439"/>
      <c r="BB58" s="440">
        <f>BB51</f>
        <v>0.001388888888888889</v>
      </c>
      <c r="BC58" s="441"/>
      <c r="BE58" s="42">
        <f>IF(AX48&gt;7,VLOOKUP(8,AX4:AZ48,2,FALSE),"")</f>
      </c>
      <c r="BF58" s="43">
        <f>IF(AX48&gt;7,VLOOKUP(8,AX4:AZ48,3,FALSE),"")</f>
      </c>
      <c r="BG58" s="42">
        <f t="shared" si="53"/>
      </c>
      <c r="BH58" s="62">
        <f t="shared" si="54"/>
      </c>
      <c r="BI58" s="17"/>
      <c r="BJ58" s="42">
        <f>IF(BA48&gt;7,VLOOKUP(8,BA4:BC48,2,FALSE),"")</f>
      </c>
      <c r="BK58" s="43">
        <f>IF(BA48&gt;7,VLOOKUP(8,BA4:BC48,3,FALSE),"")</f>
      </c>
      <c r="BL58" s="42">
        <f t="shared" si="55"/>
      </c>
      <c r="BM58" s="62">
        <f t="shared" si="56"/>
      </c>
    </row>
    <row r="59" spans="2:65" ht="9.75" customHeight="1" thickBot="1">
      <c r="B59" s="42">
        <v>8</v>
      </c>
      <c r="C59" s="468">
        <f>REPT('Lizenz Nr.- Eingabe'!C29,1)</f>
      </c>
      <c r="D59" s="469"/>
      <c r="E59" s="469"/>
      <c r="F59" s="469"/>
      <c r="G59" s="469"/>
      <c r="H59" s="470"/>
      <c r="I59" s="458">
        <f>IF(AND(AT52&gt;7,ISNUMBER(BK48)),BL48*1000+((BJ48-BK48)*10)+BJ48,-10000.1)</f>
        <v>-10000.1</v>
      </c>
      <c r="J59" s="458"/>
      <c r="K59" s="459"/>
      <c r="L59" s="460">
        <f t="shared" si="48"/>
      </c>
      <c r="M59" s="461"/>
      <c r="N59" s="462">
        <f>I59-0.6</f>
        <v>-10000.7</v>
      </c>
      <c r="O59" s="463"/>
      <c r="P59" s="464"/>
      <c r="Q59" s="445">
        <f t="shared" si="49"/>
        <v>8</v>
      </c>
      <c r="R59" s="449"/>
      <c r="S59" s="450">
        <f t="shared" si="50"/>
      </c>
      <c r="T59" s="450"/>
      <c r="U59" s="450"/>
      <c r="V59" s="451"/>
      <c r="W59" s="451"/>
      <c r="X59" s="451"/>
      <c r="Y59" s="7">
        <f>IF(I59&lt;&gt;-1000.1,BJ48,"")</f>
      </c>
      <c r="Z59" s="87">
        <f>REPT(BK48,1)</f>
      </c>
      <c r="AA59" s="51">
        <f>REPT(BL48,1)</f>
      </c>
      <c r="AB59" s="53">
        <f>REPT(BM48,1)</f>
      </c>
      <c r="AC59" s="444">
        <f t="shared" si="51"/>
        <v>0</v>
      </c>
      <c r="AD59" s="445"/>
      <c r="AE59" s="465" t="str">
        <f>IF(AND($AT$52&gt;7,ISNUMBER(AN59)),IF(AC59&gt;0,"8.",AE58),"8.")</f>
        <v>8.</v>
      </c>
      <c r="AF59" s="466"/>
      <c r="AG59" s="467"/>
      <c r="AH59" s="435">
        <f>VLOOKUP(8,$Q$52:$AB$61,3,FALSE)</f>
      </c>
      <c r="AI59" s="436"/>
      <c r="AJ59" s="436"/>
      <c r="AK59" s="436"/>
      <c r="AL59" s="436"/>
      <c r="AM59" s="437"/>
      <c r="AN59" s="75">
        <f>VLOOKUP(8,$Q$52:$AB$61,9,FALSE)</f>
      </c>
      <c r="AO59" s="76">
        <f>VLOOKUP(8,$Q$52:$AB$61,10,FALSE)</f>
      </c>
      <c r="AP59" s="75">
        <f>VLOOKUP(8,$Q$52:$AB$61,11,FALSE)</f>
      </c>
      <c r="AQ59" s="35">
        <f>VLOOKUP(8,$Q$52:$AB$61,12,FALSE)</f>
      </c>
      <c r="AS59" s="77">
        <f t="shared" si="52"/>
        <v>0</v>
      </c>
      <c r="AT59" s="428"/>
      <c r="AU59" s="429"/>
      <c r="AW59" s="432" t="s">
        <v>64</v>
      </c>
      <c r="AX59" s="433"/>
      <c r="AY59" s="433"/>
      <c r="AZ59" s="433"/>
      <c r="BA59" s="433"/>
      <c r="BB59" s="452"/>
      <c r="BC59" s="453"/>
      <c r="BE59" s="57">
        <f>IF(AX48&gt;8,VLOOKUP(9,AX4:AZ48,2,FALSE),"")</f>
      </c>
      <c r="BF59" s="58">
        <f>IF(AX48&gt;8,VLOOKUP(9,AX4:AZ48,3,FALSE),"")</f>
      </c>
      <c r="BG59" s="42">
        <f t="shared" si="53"/>
      </c>
      <c r="BH59" s="62">
        <f t="shared" si="54"/>
      </c>
      <c r="BI59" s="17"/>
      <c r="BJ59" s="57">
        <f>IF(BA48&gt;8,VLOOKUP(9,BA4:BC48,2,FALSE),"")</f>
      </c>
      <c r="BK59" s="58">
        <f>IF(BA48&gt;8,VLOOKUP(9,BA4:BC48,3,FALSE),"")</f>
      </c>
      <c r="BL59" s="42">
        <f t="shared" si="55"/>
      </c>
      <c r="BM59" s="62">
        <f>IF(ISNUMBER(BK59),IF(BJ59=BK59,1,IF(BJ59&lt;BK59,$BB$52,0)),"")</f>
      </c>
    </row>
    <row r="60" spans="2:65" ht="9.75" customHeight="1" thickBot="1">
      <c r="B60" s="42">
        <v>9</v>
      </c>
      <c r="C60" s="455"/>
      <c r="D60" s="456"/>
      <c r="E60" s="456"/>
      <c r="F60" s="456"/>
      <c r="G60" s="456"/>
      <c r="H60" s="457"/>
      <c r="I60" s="458">
        <f>IF(AND(AT52&gt;8,ISNUMBER(BF60)),BG60*1000+((BE60-BF60)*10)+BE60,-10000.1)</f>
        <v>-10000.1</v>
      </c>
      <c r="J60" s="458"/>
      <c r="K60" s="459"/>
      <c r="L60" s="460">
        <f t="shared" si="48"/>
      </c>
      <c r="M60" s="461"/>
      <c r="N60" s="462">
        <f>I60-0.7</f>
        <v>-10000.800000000001</v>
      </c>
      <c r="O60" s="463"/>
      <c r="P60" s="464"/>
      <c r="Q60" s="445">
        <f>RANK(N60,$N$52:$P$61,0)</f>
        <v>9</v>
      </c>
      <c r="R60" s="449"/>
      <c r="S60" s="450">
        <f t="shared" si="50"/>
      </c>
      <c r="T60" s="450"/>
      <c r="U60" s="450"/>
      <c r="V60" s="451"/>
      <c r="W60" s="451"/>
      <c r="X60" s="451"/>
      <c r="Y60" s="7">
        <f>IF(I60&lt;&gt;-1000.1,BE60,"")</f>
      </c>
      <c r="Z60" s="87">
        <f>REPT(BF60,1)</f>
      </c>
      <c r="AA60" s="51">
        <f>REPT(BG60,1)</f>
      </c>
      <c r="AB60" s="53">
        <f>REPT(BH60,1)</f>
      </c>
      <c r="AC60" s="444">
        <f t="shared" si="51"/>
        <v>0</v>
      </c>
      <c r="AD60" s="445"/>
      <c r="AE60" s="465" t="str">
        <f>IF(AND($AT$52&gt;8,ISNUMBER(AN60)),IF(AC60&gt;0,"9.",AE59),"9.")</f>
        <v>9.</v>
      </c>
      <c r="AF60" s="466"/>
      <c r="AG60" s="467"/>
      <c r="AH60" s="435">
        <f>VLOOKUP(9,$Q$52:$AB$61,3,FALSE)</f>
      </c>
      <c r="AI60" s="436"/>
      <c r="AJ60" s="436"/>
      <c r="AK60" s="436"/>
      <c r="AL60" s="436"/>
      <c r="AM60" s="437"/>
      <c r="AN60" s="75">
        <f>VLOOKUP(9,$Q$52:$AB$61,9,FALSE)</f>
      </c>
      <c r="AO60" s="76">
        <f>VLOOKUP(9,$Q$52:$AB$61,10,FALSE)</f>
      </c>
      <c r="AP60" s="75">
        <f>VLOOKUP(9,$Q$52:$AB$61,11,FALSE)</f>
      </c>
      <c r="AQ60" s="35">
        <f>VLOOKUP(9,$Q$52:$AB$61,12,FALSE)</f>
      </c>
      <c r="AS60" s="77">
        <f t="shared" si="52"/>
        <v>0</v>
      </c>
      <c r="AT60" s="428"/>
      <c r="AU60" s="429"/>
      <c r="AW60" s="432" t="s">
        <v>65</v>
      </c>
      <c r="AX60" s="433"/>
      <c r="AY60" s="433"/>
      <c r="AZ60" s="433"/>
      <c r="BA60" s="433"/>
      <c r="BB60" s="454">
        <v>0.001388888888888889</v>
      </c>
      <c r="BC60" s="434"/>
      <c r="BE60" s="18">
        <f>IF(ISNUMBER(BE51),SUM(BE52:BE59),"")</f>
      </c>
      <c r="BF60" s="19">
        <f>IF(ISNUMBER(BF51),SUM(BF51:BF59),"")</f>
      </c>
      <c r="BG60" s="18">
        <f>IF(ISNUMBER(BG51),SUM(BG51:BG59),"")</f>
      </c>
      <c r="BH60" s="20">
        <f>IF(ISNUMBER(BH51),SUM(BH51:BH59),"")</f>
      </c>
      <c r="BI60" s="22"/>
      <c r="BJ60" s="18">
        <f>IF(ISNUMBER(BJ51),SUM(BJ51:BJ59),"")</f>
      </c>
      <c r="BK60" s="19">
        <f>IF(ISNUMBER(BK51),SUM(BK51:BK59),"")</f>
      </c>
      <c r="BL60" s="18">
        <f>IF(ISNUMBER(BL51),SUM(BL51:BL59),"")</f>
      </c>
      <c r="BM60" s="20">
        <f>IF(ISNUMBER(BM51),SUM(BM51:BM59),"")</f>
      </c>
    </row>
    <row r="61" spans="2:55" ht="9.75" customHeight="1" thickBot="1">
      <c r="B61" s="78">
        <v>10</v>
      </c>
      <c r="C61" s="471"/>
      <c r="D61" s="472"/>
      <c r="E61" s="472"/>
      <c r="F61" s="472"/>
      <c r="G61" s="472"/>
      <c r="H61" s="473"/>
      <c r="I61" s="474">
        <f>IF(AND(AT52&gt;9,ISNUMBER(BK60)),BL60*1000+((BJ60-BK60)*10)+BJ60,-10000.1)</f>
        <v>-10000.1</v>
      </c>
      <c r="J61" s="474"/>
      <c r="K61" s="475"/>
      <c r="L61" s="476">
        <f t="shared" si="48"/>
      </c>
      <c r="M61" s="477"/>
      <c r="N61" s="478">
        <f>I61-0.8</f>
        <v>-10000.9</v>
      </c>
      <c r="O61" s="479"/>
      <c r="P61" s="480"/>
      <c r="Q61" s="442">
        <f t="shared" si="49"/>
        <v>10</v>
      </c>
      <c r="R61" s="443"/>
      <c r="S61" s="446">
        <f t="shared" si="50"/>
      </c>
      <c r="T61" s="447"/>
      <c r="U61" s="447"/>
      <c r="V61" s="448"/>
      <c r="W61" s="448"/>
      <c r="X61" s="448"/>
      <c r="Y61" s="8">
        <f>IF(I61&lt;&gt;-1000.1,BJ60,"")</f>
      </c>
      <c r="Z61" s="88">
        <f>REPT(BK60,1)</f>
      </c>
      <c r="AA61" s="69">
        <f>REPT(BL60,1)</f>
      </c>
      <c r="AB61" s="70">
        <f>REPT(BM60,1)</f>
      </c>
      <c r="AC61" s="442">
        <f>COUNTIF($L$52:$M$61,B61)</f>
        <v>0</v>
      </c>
      <c r="AD61" s="443"/>
      <c r="AE61" s="416" t="str">
        <f>IF(AND($AT$52&gt;9,ISNUMBER(AN61)),IF(AC61&gt;0,"10.",AE60),"10.")</f>
        <v>10.</v>
      </c>
      <c r="AF61" s="417"/>
      <c r="AG61" s="418"/>
      <c r="AH61" s="419">
        <f>VLOOKUP(10,$Q$52:$AB$61,3,FALSE)</f>
      </c>
      <c r="AI61" s="420"/>
      <c r="AJ61" s="420"/>
      <c r="AK61" s="420"/>
      <c r="AL61" s="420"/>
      <c r="AM61" s="421"/>
      <c r="AN61" s="80">
        <f>VLOOKUP(10,$Q$52:$AB$61,9,FALSE)</f>
      </c>
      <c r="AO61" s="79">
        <f>VLOOKUP(10,$Q$52:$AB$61,10,FALSE)</f>
      </c>
      <c r="AP61" s="80">
        <f>VLOOKUP(10,$Q$52:$AB$61,11,FALSE)</f>
      </c>
      <c r="AQ61" s="66">
        <f>VLOOKUP(10,$Q$52:$AB$61,12,FALSE)</f>
      </c>
      <c r="AS61" s="77">
        <f t="shared" si="52"/>
        <v>0</v>
      </c>
      <c r="AT61" s="430"/>
      <c r="AU61" s="431"/>
      <c r="AW61" s="422" t="s">
        <v>63</v>
      </c>
      <c r="AX61" s="423"/>
      <c r="AY61" s="423"/>
      <c r="AZ61" s="423"/>
      <c r="BA61" s="423"/>
      <c r="BB61" s="424">
        <f>BB56+((BB60*BB59)+BB58)*BB57</f>
        <v>0.01388888888888889</v>
      </c>
      <c r="BC61" s="425"/>
    </row>
    <row r="62" ht="12.75"/>
    <row r="63" ht="12.75">
      <c r="BO63" s="15"/>
    </row>
    <row r="64" ht="12.75">
      <c r="BO64" s="15"/>
    </row>
    <row r="65" ht="12.75"/>
    <row r="69" spans="50:61" ht="12.75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50:61" ht="12.75">
      <c r="AX70" s="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"/>
    </row>
    <row r="71" spans="50:61" ht="12.75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50:61" ht="12.75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50:61" ht="12.75"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50:61" ht="12.75"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50:61" ht="12.75"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85" spans="50:59" ht="12.75"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96" spans="50:59" ht="12.75"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107" spans="50:59" ht="12.75"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</sheetData>
  <sheetProtection/>
  <mergeCells count="242">
    <mergeCell ref="T11:U11"/>
    <mergeCell ref="V11:W11"/>
    <mergeCell ref="T8:U8"/>
    <mergeCell ref="V8:W8"/>
    <mergeCell ref="T9:U9"/>
    <mergeCell ref="V9:W9"/>
    <mergeCell ref="T10:U10"/>
    <mergeCell ref="V10:W10"/>
    <mergeCell ref="V4:W4"/>
    <mergeCell ref="T5:U5"/>
    <mergeCell ref="V5:W5"/>
    <mergeCell ref="T6:U6"/>
    <mergeCell ref="V6:W6"/>
    <mergeCell ref="T7:U7"/>
    <mergeCell ref="V7:W7"/>
    <mergeCell ref="BB52:BC52"/>
    <mergeCell ref="B2:Q2"/>
    <mergeCell ref="R2:W2"/>
    <mergeCell ref="X2:BC2"/>
    <mergeCell ref="AP3:AQ3"/>
    <mergeCell ref="AS3:AT3"/>
    <mergeCell ref="AV3:AW3"/>
    <mergeCell ref="AY3:AZ3"/>
    <mergeCell ref="BB3:BC3"/>
    <mergeCell ref="T4:U4"/>
    <mergeCell ref="BE2:BH2"/>
    <mergeCell ref="BJ2:BM2"/>
    <mergeCell ref="R3:S3"/>
    <mergeCell ref="T3:W3"/>
    <mergeCell ref="X3:Y3"/>
    <mergeCell ref="AA3:AB3"/>
    <mergeCell ref="AD3:AE3"/>
    <mergeCell ref="AG3:AH3"/>
    <mergeCell ref="AJ3:AK3"/>
    <mergeCell ref="AM3:AN3"/>
    <mergeCell ref="T12:U12"/>
    <mergeCell ref="V12:W12"/>
    <mergeCell ref="T13:U13"/>
    <mergeCell ref="V13:W13"/>
    <mergeCell ref="T14:U14"/>
    <mergeCell ref="V14:W14"/>
    <mergeCell ref="T18:U18"/>
    <mergeCell ref="V18:W18"/>
    <mergeCell ref="T16:U16"/>
    <mergeCell ref="V16:W16"/>
    <mergeCell ref="BE14:BH14"/>
    <mergeCell ref="BJ14:BM14"/>
    <mergeCell ref="T22:U22"/>
    <mergeCell ref="V22:W22"/>
    <mergeCell ref="T23:U23"/>
    <mergeCell ref="V23:W23"/>
    <mergeCell ref="T15:U15"/>
    <mergeCell ref="V15:W15"/>
    <mergeCell ref="T19:U19"/>
    <mergeCell ref="V19:W19"/>
    <mergeCell ref="T17:U17"/>
    <mergeCell ref="V17:W17"/>
    <mergeCell ref="BJ26:BM26"/>
    <mergeCell ref="T27:U27"/>
    <mergeCell ref="V27:W27"/>
    <mergeCell ref="BE26:BH26"/>
    <mergeCell ref="T20:U20"/>
    <mergeCell ref="V20:W20"/>
    <mergeCell ref="T25:U25"/>
    <mergeCell ref="V25:W25"/>
    <mergeCell ref="T21:U21"/>
    <mergeCell ref="V21:W21"/>
    <mergeCell ref="T28:U28"/>
    <mergeCell ref="V28:W28"/>
    <mergeCell ref="T26:U26"/>
    <mergeCell ref="V26:W26"/>
    <mergeCell ref="T24:U24"/>
    <mergeCell ref="V24:W24"/>
    <mergeCell ref="V37:W37"/>
    <mergeCell ref="T29:U29"/>
    <mergeCell ref="V29:W29"/>
    <mergeCell ref="T30:U30"/>
    <mergeCell ref="V30:W30"/>
    <mergeCell ref="T31:U31"/>
    <mergeCell ref="V31:W31"/>
    <mergeCell ref="V44:W44"/>
    <mergeCell ref="T34:U34"/>
    <mergeCell ref="V34:W34"/>
    <mergeCell ref="T32:U32"/>
    <mergeCell ref="V32:W32"/>
    <mergeCell ref="T33:U33"/>
    <mergeCell ref="V33:W33"/>
    <mergeCell ref="T36:U36"/>
    <mergeCell ref="V36:W36"/>
    <mergeCell ref="T37:U37"/>
    <mergeCell ref="V41:W41"/>
    <mergeCell ref="T35:U35"/>
    <mergeCell ref="V35:W35"/>
    <mergeCell ref="T47:U47"/>
    <mergeCell ref="V47:W47"/>
    <mergeCell ref="T40:U40"/>
    <mergeCell ref="V40:W40"/>
    <mergeCell ref="T43:U43"/>
    <mergeCell ref="V43:W43"/>
    <mergeCell ref="T44:U44"/>
    <mergeCell ref="AS51:AU51"/>
    <mergeCell ref="T46:U46"/>
    <mergeCell ref="V46:W46"/>
    <mergeCell ref="BE38:BH38"/>
    <mergeCell ref="BJ38:BM38"/>
    <mergeCell ref="T39:U39"/>
    <mergeCell ref="V39:W39"/>
    <mergeCell ref="T38:U38"/>
    <mergeCell ref="V38:W38"/>
    <mergeCell ref="T41:U41"/>
    <mergeCell ref="AP51:AQ51"/>
    <mergeCell ref="B50:M50"/>
    <mergeCell ref="N50:AD50"/>
    <mergeCell ref="BB51:BC51"/>
    <mergeCell ref="AW50:BC50"/>
    <mergeCell ref="T42:U42"/>
    <mergeCell ref="V42:W42"/>
    <mergeCell ref="T45:U45"/>
    <mergeCell ref="V45:W45"/>
    <mergeCell ref="AH51:AM51"/>
    <mergeCell ref="BE50:BH50"/>
    <mergeCell ref="AE50:AQ50"/>
    <mergeCell ref="AS50:AU50"/>
    <mergeCell ref="T48:U48"/>
    <mergeCell ref="V48:W48"/>
    <mergeCell ref="S51:X51"/>
    <mergeCell ref="AC51:AD51"/>
    <mergeCell ref="AE51:AG51"/>
    <mergeCell ref="AW51:BA51"/>
    <mergeCell ref="AN51:AO51"/>
    <mergeCell ref="Q53:R53"/>
    <mergeCell ref="S53:X53"/>
    <mergeCell ref="BJ50:BM50"/>
    <mergeCell ref="C51:H51"/>
    <mergeCell ref="I51:K51"/>
    <mergeCell ref="L51:M51"/>
    <mergeCell ref="N51:P51"/>
    <mergeCell ref="Q51:R51"/>
    <mergeCell ref="AC53:AD53"/>
    <mergeCell ref="AE53:AG53"/>
    <mergeCell ref="C54:H54"/>
    <mergeCell ref="I54:K54"/>
    <mergeCell ref="L54:M54"/>
    <mergeCell ref="N54:P54"/>
    <mergeCell ref="Q54:R54"/>
    <mergeCell ref="S54:X54"/>
    <mergeCell ref="C53:H53"/>
    <mergeCell ref="I53:K53"/>
    <mergeCell ref="L53:M53"/>
    <mergeCell ref="N53:P53"/>
    <mergeCell ref="C52:H52"/>
    <mergeCell ref="I52:K52"/>
    <mergeCell ref="L52:M52"/>
    <mergeCell ref="N52:P52"/>
    <mergeCell ref="AW56:BA56"/>
    <mergeCell ref="Q52:R52"/>
    <mergeCell ref="S52:X52"/>
    <mergeCell ref="AC52:AD52"/>
    <mergeCell ref="S55:X55"/>
    <mergeCell ref="AC55:AD55"/>
    <mergeCell ref="Q55:R55"/>
    <mergeCell ref="AE52:AG52"/>
    <mergeCell ref="AT52:AU56"/>
    <mergeCell ref="AH53:AM53"/>
    <mergeCell ref="AH52:AM52"/>
    <mergeCell ref="AW52:BA52"/>
    <mergeCell ref="BB56:BC56"/>
    <mergeCell ref="AC54:AD54"/>
    <mergeCell ref="AE54:AG54"/>
    <mergeCell ref="AH54:AM54"/>
    <mergeCell ref="AW55:BC55"/>
    <mergeCell ref="AH56:AM56"/>
    <mergeCell ref="AE55:AG55"/>
    <mergeCell ref="AH55:AM55"/>
    <mergeCell ref="S57:X57"/>
    <mergeCell ref="C56:H56"/>
    <mergeCell ref="I56:K56"/>
    <mergeCell ref="L56:M56"/>
    <mergeCell ref="N56:P56"/>
    <mergeCell ref="C55:H55"/>
    <mergeCell ref="I55:K55"/>
    <mergeCell ref="L55:M55"/>
    <mergeCell ref="N55:P55"/>
    <mergeCell ref="C57:H57"/>
    <mergeCell ref="AH59:AM59"/>
    <mergeCell ref="L59:M59"/>
    <mergeCell ref="N59:P59"/>
    <mergeCell ref="Q56:R56"/>
    <mergeCell ref="S56:X56"/>
    <mergeCell ref="AC56:AD56"/>
    <mergeCell ref="AE56:AG56"/>
    <mergeCell ref="Q58:R58"/>
    <mergeCell ref="S58:X58"/>
    <mergeCell ref="Q57:R57"/>
    <mergeCell ref="C61:H61"/>
    <mergeCell ref="I61:K61"/>
    <mergeCell ref="L61:M61"/>
    <mergeCell ref="N61:P61"/>
    <mergeCell ref="AE60:AG60"/>
    <mergeCell ref="AH57:AM57"/>
    <mergeCell ref="AC58:AD58"/>
    <mergeCell ref="AE58:AG58"/>
    <mergeCell ref="AC57:AD57"/>
    <mergeCell ref="AE57:AG57"/>
    <mergeCell ref="I57:K57"/>
    <mergeCell ref="L57:M57"/>
    <mergeCell ref="N57:P57"/>
    <mergeCell ref="C59:H59"/>
    <mergeCell ref="I59:K59"/>
    <mergeCell ref="C58:H58"/>
    <mergeCell ref="I58:K58"/>
    <mergeCell ref="L58:M58"/>
    <mergeCell ref="N58:P58"/>
    <mergeCell ref="AW59:BA59"/>
    <mergeCell ref="BB59:BC59"/>
    <mergeCell ref="AH60:AM60"/>
    <mergeCell ref="AW60:BA60"/>
    <mergeCell ref="BB60:BC60"/>
    <mergeCell ref="C60:H60"/>
    <mergeCell ref="I60:K60"/>
    <mergeCell ref="L60:M60"/>
    <mergeCell ref="N60:P60"/>
    <mergeCell ref="AE59:AG59"/>
    <mergeCell ref="AC61:AD61"/>
    <mergeCell ref="AC59:AD59"/>
    <mergeCell ref="Q61:R61"/>
    <mergeCell ref="S61:X61"/>
    <mergeCell ref="Q60:R60"/>
    <mergeCell ref="S60:X60"/>
    <mergeCell ref="AC60:AD60"/>
    <mergeCell ref="Q59:R59"/>
    <mergeCell ref="S59:X59"/>
    <mergeCell ref="AE61:AG61"/>
    <mergeCell ref="AH61:AM61"/>
    <mergeCell ref="AW61:BA61"/>
    <mergeCell ref="BB61:BC61"/>
    <mergeCell ref="AT57:AU61"/>
    <mergeCell ref="AW57:BA57"/>
    <mergeCell ref="BB57:BC57"/>
    <mergeCell ref="AH58:AM58"/>
    <mergeCell ref="AW58:BA58"/>
    <mergeCell ref="BB58:BC58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AJ82"/>
  <sheetViews>
    <sheetView tabSelected="1" zoomScaleSheetLayoutView="100" zoomScalePageLayoutView="0" workbookViewId="0" topLeftCell="A13">
      <selection activeCell="AF21" sqref="AF21"/>
    </sheetView>
  </sheetViews>
  <sheetFormatPr defaultColWidth="11.421875" defaultRowHeight="12.75"/>
  <cols>
    <col min="1" max="1" width="4.7109375" style="113" customWidth="1"/>
    <col min="2" max="2" width="6.00390625" style="113" customWidth="1"/>
    <col min="3" max="3" width="4.00390625" style="113" customWidth="1"/>
    <col min="4" max="4" width="3.57421875" style="113" customWidth="1"/>
    <col min="5" max="5" width="4.140625" style="113" customWidth="1"/>
    <col min="6" max="6" width="2.8515625" style="113" customWidth="1"/>
    <col min="7" max="7" width="1.57421875" style="113" customWidth="1"/>
    <col min="8" max="10" width="3.57421875" style="113" customWidth="1"/>
    <col min="11" max="11" width="1.7109375" style="113" customWidth="1"/>
    <col min="12" max="12" width="11.28125" style="113" customWidth="1"/>
    <col min="13" max="13" width="1.7109375" style="113" customWidth="1"/>
    <col min="14" max="14" width="11.00390625" style="113" customWidth="1"/>
    <col min="15" max="15" width="3.7109375" style="113" customWidth="1"/>
    <col min="16" max="17" width="3.57421875" style="113" customWidth="1"/>
    <col min="18" max="18" width="6.00390625" style="113" customWidth="1"/>
    <col min="19" max="19" width="1.421875" style="113" customWidth="1"/>
    <col min="20" max="20" width="7.57421875" style="113" customWidth="1"/>
    <col min="21" max="21" width="3.28125" style="113" customWidth="1"/>
    <col min="22" max="26" width="2.28125" style="113" customWidth="1"/>
    <col min="27" max="28" width="5.00390625" style="113" customWidth="1"/>
    <col min="29" max="47" width="8.7109375" style="113" customWidth="1"/>
    <col min="48" max="16384" width="11.421875" style="113" customWidth="1"/>
  </cols>
  <sheetData>
    <row r="2" spans="3:27" ht="9.7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3:27" ht="19.5" customHeight="1">
      <c r="C3" s="621" t="s">
        <v>153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</row>
    <row r="4" spans="3:27" ht="19.5" customHeight="1">
      <c r="C4" s="622" t="s">
        <v>159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</row>
    <row r="5" spans="3:27" ht="27.75" customHeight="1" thickBot="1">
      <c r="C5" s="623" t="s">
        <v>113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</row>
    <row r="6" ht="16.5" customHeight="1"/>
    <row r="7" spans="3:27" ht="21" customHeight="1">
      <c r="C7" s="625" t="str">
        <f>IF(H63=1,'Lizenz Nr.- Eingabe'!D13,#REF!)</f>
        <v>NDS-Meisterschaft Radball U-15</v>
      </c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</row>
    <row r="8" spans="3:27" s="137" customFormat="1" ht="24.75" customHeight="1">
      <c r="C8" s="251" t="str">
        <f>IF(H63=1,'Lizenz Nr.- Eingabe'!D8,#REF!)</f>
        <v>Veranstalter: RV Möve Bilshausen</v>
      </c>
      <c r="D8" s="252"/>
      <c r="E8" s="252"/>
      <c r="F8" s="247"/>
      <c r="G8" s="247"/>
      <c r="H8" s="247"/>
      <c r="I8" s="247"/>
      <c r="J8" s="247"/>
      <c r="K8" s="251"/>
      <c r="L8" s="247"/>
      <c r="M8" s="247"/>
      <c r="N8" s="247"/>
      <c r="O8" s="247"/>
      <c r="P8" s="247"/>
      <c r="Q8" s="619" t="str">
        <f>IF(H63=1,'Lizenz Nr.- Eingabe'!W8,#REF!)</f>
        <v>Halle: Carl-Strüber Sporthalle</v>
      </c>
      <c r="R8" s="620"/>
      <c r="S8" s="620"/>
      <c r="T8" s="620"/>
      <c r="U8" s="620"/>
      <c r="V8" s="620"/>
      <c r="W8" s="620"/>
      <c r="X8" s="620"/>
      <c r="Y8" s="620"/>
      <c r="Z8" s="620"/>
      <c r="AA8" s="620"/>
    </row>
    <row r="9" spans="3:27" s="137" customFormat="1" ht="19.5" customHeight="1">
      <c r="C9" s="247" t="str">
        <f>IF(H63=1,'Lizenz Nr.- Eingabe'!D9,#REF!)</f>
        <v>Franz Josef Adler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546" t="str">
        <f>IF(H63=1,'Lizenz Nr.- Eingabe'!W9,#REF!)</f>
        <v>Sandweg 80</v>
      </c>
      <c r="R9" s="546"/>
      <c r="S9" s="546"/>
      <c r="T9" s="546"/>
      <c r="U9" s="546"/>
      <c r="V9" s="546"/>
      <c r="W9" s="546"/>
      <c r="X9" s="546"/>
      <c r="Y9" s="546"/>
      <c r="Z9" s="546"/>
      <c r="AA9" s="546"/>
    </row>
    <row r="10" spans="3:27" s="137" customFormat="1" ht="19.5" customHeight="1">
      <c r="C10" s="252" t="str">
        <f>IF(H63=1,'Lizenz Nr.- Eingabe'!D10,#REF!)</f>
        <v>Feldstraße 12, 37434 Bilshausen</v>
      </c>
      <c r="D10" s="252"/>
      <c r="E10" s="252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546" t="str">
        <f>IF(H63=1,'Lizenz Nr.- Eingabe'!W10,#REF!)</f>
        <v>37434 Bilshausen</v>
      </c>
      <c r="R10" s="546"/>
      <c r="S10" s="546"/>
      <c r="T10" s="546"/>
      <c r="U10" s="546"/>
      <c r="V10" s="546"/>
      <c r="W10" s="546"/>
      <c r="X10" s="546"/>
      <c r="Y10" s="546"/>
      <c r="Z10" s="546"/>
      <c r="AA10" s="546"/>
    </row>
    <row r="11" spans="3:27" s="137" customFormat="1" ht="19.5" customHeight="1">
      <c r="C11" s="252" t="str">
        <f>IF(H63=1,'Lizenz Nr.- Eingabe'!D11,#REF!)</f>
        <v>Tel. 05528 3075</v>
      </c>
      <c r="D11" s="252"/>
      <c r="E11" s="252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546" t="str">
        <f>IF(H63=1,'Lizenz Nr.- Eingabe'!W11,#REF!)</f>
        <v>Tel.:  </v>
      </c>
      <c r="R11" s="546"/>
      <c r="S11" s="546"/>
      <c r="T11" s="546"/>
      <c r="U11" s="546"/>
      <c r="V11" s="546"/>
      <c r="W11" s="546"/>
      <c r="X11" s="546"/>
      <c r="Y11" s="546"/>
      <c r="Z11" s="546"/>
      <c r="AA11" s="546"/>
    </row>
    <row r="12" spans="3:27" s="137" customFormat="1" ht="19.5" customHeight="1">
      <c r="C12" s="252">
        <f>IF(H63=1,'Lizenz Nr.- Eingabe'!D12,#REF!)</f>
        <v>0</v>
      </c>
      <c r="D12" s="252"/>
      <c r="E12" s="252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549" t="str">
        <f>IF(H63=1,'Lizenz Nr.- Eingabe'!T13,#REF!)</f>
        <v>Datum: 25.02.2024</v>
      </c>
      <c r="R12" s="549"/>
      <c r="S12" s="549"/>
      <c r="T12" s="549"/>
      <c r="U12" s="549"/>
      <c r="V12" s="549"/>
      <c r="W12" s="549"/>
      <c r="X12" s="549"/>
      <c r="Y12" s="549"/>
      <c r="Z12" s="549"/>
      <c r="AA12" s="549"/>
    </row>
    <row r="13" spans="3:27" ht="11.25" customHeight="1">
      <c r="C13" s="138"/>
      <c r="D13" s="138"/>
      <c r="E13" s="138"/>
      <c r="F13" s="139"/>
      <c r="G13" s="139"/>
      <c r="H13" s="14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3:35" ht="24.75" customHeight="1">
      <c r="C14" s="550" t="s">
        <v>72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U14" s="548" t="s">
        <v>73</v>
      </c>
      <c r="V14" s="548"/>
      <c r="W14" s="548"/>
      <c r="X14" s="547" t="str">
        <f>IF(H63=1,'Lizenz Nr.- Eingabe'!$AF$13,#REF!)</f>
        <v>10.00</v>
      </c>
      <c r="Y14" s="547"/>
      <c r="Z14" s="547"/>
      <c r="AA14" s="114" t="s">
        <v>84</v>
      </c>
      <c r="AC14" s="141"/>
      <c r="AE14" s="141"/>
      <c r="AF14" s="141"/>
      <c r="AG14" s="141"/>
      <c r="AH14" s="141"/>
      <c r="AI14" s="141"/>
    </row>
    <row r="15" spans="29:35" ht="9.75" customHeight="1">
      <c r="AC15" s="142"/>
      <c r="AE15" s="143"/>
      <c r="AF15" s="143"/>
      <c r="AG15" s="143"/>
      <c r="AH15" s="143"/>
      <c r="AI15" s="141"/>
    </row>
    <row r="16" spans="3:35" ht="15" customHeight="1">
      <c r="C16" s="144" t="s">
        <v>15</v>
      </c>
      <c r="D16" s="551" t="str">
        <f>IF($H$63=1,'Lizenz Nr.- Eingabe'!D15,#REF!)</f>
        <v>RV Etelsen I</v>
      </c>
      <c r="E16" s="551"/>
      <c r="F16" s="551"/>
      <c r="G16" s="551"/>
      <c r="H16" s="551"/>
      <c r="I16" s="551"/>
      <c r="J16" s="551"/>
      <c r="K16" s="145"/>
      <c r="L16" s="146"/>
      <c r="M16" s="146"/>
      <c r="N16" s="146"/>
      <c r="P16" s="546" t="str">
        <f>IF($H$63=1,O67,AC67)</f>
        <v>Mario Laviletta / Per-Lasse Steffens</v>
      </c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C16" s="147"/>
      <c r="AE16" s="143"/>
      <c r="AF16" s="143"/>
      <c r="AG16" s="143"/>
      <c r="AH16" s="143"/>
      <c r="AI16" s="141"/>
    </row>
    <row r="17" spans="3:35" ht="16.5" customHeight="1">
      <c r="C17" s="144" t="s">
        <v>16</v>
      </c>
      <c r="D17" s="551" t="str">
        <f>IF($H$63=1,'Lizenz Nr.- Eingabe'!D17,#REF!)</f>
        <v>RVM Bilshausen I</v>
      </c>
      <c r="E17" s="551"/>
      <c r="F17" s="551"/>
      <c r="G17" s="551"/>
      <c r="H17" s="551"/>
      <c r="I17" s="551"/>
      <c r="J17" s="551"/>
      <c r="K17" s="145"/>
      <c r="L17" s="146"/>
      <c r="M17" s="146"/>
      <c r="N17" s="146"/>
      <c r="P17" s="546" t="str">
        <f>IF($H$63=1,O69,AC69)</f>
        <v>Lenny Jünemann / Frederik Freiberg</v>
      </c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C17" s="147"/>
      <c r="AE17" s="143"/>
      <c r="AF17" s="143"/>
      <c r="AG17" s="143"/>
      <c r="AH17" s="143"/>
      <c r="AI17" s="141"/>
    </row>
    <row r="18" spans="3:35" ht="16.5" customHeight="1">
      <c r="C18" s="144" t="s">
        <v>17</v>
      </c>
      <c r="D18" s="551" t="str">
        <f>IF($H$63=1,'Lizenz Nr.- Eingabe'!D19,#REF!)</f>
        <v>RCG Hahndorf I</v>
      </c>
      <c r="E18" s="551"/>
      <c r="F18" s="551"/>
      <c r="G18" s="551"/>
      <c r="H18" s="551"/>
      <c r="I18" s="551"/>
      <c r="J18" s="551"/>
      <c r="K18" s="145"/>
      <c r="L18" s="146"/>
      <c r="M18" s="146"/>
      <c r="N18" s="146"/>
      <c r="P18" s="546" t="str">
        <f>IF($H$63=1,O71,AC71)</f>
        <v>Maximilian Lehmann / Noa Klipp</v>
      </c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C18" s="147"/>
      <c r="AE18" s="143"/>
      <c r="AF18" s="143"/>
      <c r="AG18" s="143"/>
      <c r="AH18" s="143"/>
      <c r="AI18" s="141"/>
    </row>
    <row r="19" spans="3:35" ht="16.5" customHeight="1">
      <c r="C19" s="144" t="s">
        <v>18</v>
      </c>
      <c r="D19" s="551" t="str">
        <f>IF($H$63=1,'Lizenz Nr.- Eingabe'!D21,#REF!)</f>
        <v>RVS Obernfeld I</v>
      </c>
      <c r="E19" s="551"/>
      <c r="F19" s="551"/>
      <c r="G19" s="551"/>
      <c r="H19" s="551"/>
      <c r="I19" s="551"/>
      <c r="J19" s="551"/>
      <c r="K19" s="145"/>
      <c r="L19" s="146"/>
      <c r="M19" s="146"/>
      <c r="N19" s="146"/>
      <c r="P19" s="546" t="str">
        <f>IF($H$63=1,O73,AC73)</f>
        <v>Henning Weiß / Jannes Mühe</v>
      </c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C19" s="147"/>
      <c r="AE19" s="143"/>
      <c r="AF19" s="143"/>
      <c r="AG19" s="143"/>
      <c r="AH19" s="143"/>
      <c r="AI19" s="141"/>
    </row>
    <row r="20" spans="3:35" ht="16.5" customHeight="1">
      <c r="C20" s="144" t="s">
        <v>19</v>
      </c>
      <c r="D20" s="551" t="str">
        <f>IF($H$63=1,'Lizenz Nr.- Eingabe'!D23,#REF!)</f>
        <v>RV Etelsen II</v>
      </c>
      <c r="E20" s="551"/>
      <c r="F20" s="551"/>
      <c r="G20" s="551"/>
      <c r="H20" s="551"/>
      <c r="I20" s="551"/>
      <c r="J20" s="551"/>
      <c r="K20" s="145"/>
      <c r="L20" s="146"/>
      <c r="M20" s="146"/>
      <c r="N20" s="146"/>
      <c r="P20" s="546" t="str">
        <f>IF($H$63=1,O75,AC75)</f>
        <v>Julian Polack / Devin Schwartz</v>
      </c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C20" s="147"/>
      <c r="AE20" s="143"/>
      <c r="AF20" s="143"/>
      <c r="AG20" s="143"/>
      <c r="AH20" s="143"/>
      <c r="AI20" s="141"/>
    </row>
    <row r="21" spans="3:35" ht="16.5" customHeight="1">
      <c r="C21" s="144" t="s">
        <v>20</v>
      </c>
      <c r="D21" s="551">
        <f>IF($H$63=1,'Lizenz Nr.- Eingabe'!D25,#REF!)</f>
        <v>0</v>
      </c>
      <c r="E21" s="551"/>
      <c r="F21" s="551"/>
      <c r="G21" s="551"/>
      <c r="H21" s="551"/>
      <c r="I21" s="551"/>
      <c r="J21" s="551"/>
      <c r="K21" s="145"/>
      <c r="L21" s="146">
        <f>IF(H63=1,(C77),#REF!)</f>
        <v>0</v>
      </c>
      <c r="M21" s="146" t="s">
        <v>162</v>
      </c>
      <c r="N21" s="146">
        <f>IF(H63=1,(C78),#REF!)</f>
        <v>0</v>
      </c>
      <c r="P21" s="546">
        <f>IF($H$63=1,O77,AC77)</f>
      </c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C21" s="147"/>
      <c r="AE21" s="143"/>
      <c r="AF21" s="143"/>
      <c r="AG21" s="143"/>
      <c r="AH21" s="143"/>
      <c r="AI21" s="141"/>
    </row>
    <row r="22" spans="3:35" ht="12" customHeight="1" thickBot="1"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7"/>
      <c r="AE22" s="143"/>
      <c r="AF22" s="143"/>
      <c r="AG22" s="143"/>
      <c r="AH22" s="143"/>
      <c r="AI22" s="141"/>
    </row>
    <row r="23" spans="29:35" ht="3.75" customHeight="1">
      <c r="AC23" s="147"/>
      <c r="AE23" s="143"/>
      <c r="AF23" s="143"/>
      <c r="AG23" s="143"/>
      <c r="AH23" s="143"/>
      <c r="AI23" s="141"/>
    </row>
    <row r="24" spans="3:35" ht="18" customHeight="1">
      <c r="C24" s="550" t="s">
        <v>74</v>
      </c>
      <c r="D24" s="550"/>
      <c r="E24" s="550"/>
      <c r="F24" s="550"/>
      <c r="Z24" s="117"/>
      <c r="AC24" s="147"/>
      <c r="AE24" s="143"/>
      <c r="AF24" s="143"/>
      <c r="AG24" s="143"/>
      <c r="AH24" s="143"/>
      <c r="AI24" s="141"/>
    </row>
    <row r="25" spans="29:35" ht="3.75" customHeight="1">
      <c r="AC25" s="147"/>
      <c r="AE25" s="143"/>
      <c r="AF25" s="143"/>
      <c r="AG25" s="143"/>
      <c r="AH25" s="143"/>
      <c r="AI25" s="141"/>
    </row>
    <row r="26" spans="3:35" ht="18" customHeight="1">
      <c r="C26" s="149" t="s">
        <v>75</v>
      </c>
      <c r="D26" s="553" t="str">
        <f>IF($H$63=1,'Lizenz Nr.- Eingabe'!F32,#REF!)</f>
        <v>RV Etelsen I</v>
      </c>
      <c r="E26" s="553"/>
      <c r="F26" s="553"/>
      <c r="G26" s="553"/>
      <c r="H26" s="553"/>
      <c r="I26" s="553"/>
      <c r="J26" s="553"/>
      <c r="K26" s="150" t="s">
        <v>85</v>
      </c>
      <c r="L26" s="553" t="str">
        <f>IF($H$63=1,'Lizenz Nr.- Eingabe'!K32,#REF!)</f>
        <v>RV Etelsen II</v>
      </c>
      <c r="M26" s="553"/>
      <c r="N26" s="553"/>
      <c r="O26" s="553"/>
      <c r="P26" s="553"/>
      <c r="Q26" s="553"/>
      <c r="R26" s="553"/>
      <c r="S26" s="553"/>
      <c r="T26" s="151"/>
      <c r="U26" s="151"/>
      <c r="V26" s="554"/>
      <c r="W26" s="554"/>
      <c r="X26" s="152" t="s">
        <v>14</v>
      </c>
      <c r="Y26" s="554"/>
      <c r="Z26" s="554"/>
      <c r="AC26" s="147"/>
      <c r="AE26" s="143"/>
      <c r="AF26" s="143"/>
      <c r="AG26" s="143"/>
      <c r="AH26" s="143"/>
      <c r="AI26" s="141"/>
    </row>
    <row r="27" spans="3:35" ht="18" customHeight="1">
      <c r="C27" s="149" t="s">
        <v>76</v>
      </c>
      <c r="D27" s="553" t="str">
        <f>IF($H$63=1,'Lizenz Nr.- Eingabe'!F33,#REF!)</f>
        <v>RVM Bilshausen I</v>
      </c>
      <c r="E27" s="553"/>
      <c r="F27" s="553"/>
      <c r="G27" s="553"/>
      <c r="H27" s="553"/>
      <c r="I27" s="553"/>
      <c r="J27" s="553"/>
      <c r="K27" s="150" t="s">
        <v>85</v>
      </c>
      <c r="L27" s="553" t="str">
        <f>IF($H$63=1,'Lizenz Nr.- Eingabe'!K33,#REF!)</f>
        <v>RCG Hahndorf I</v>
      </c>
      <c r="M27" s="553"/>
      <c r="N27" s="553"/>
      <c r="O27" s="553"/>
      <c r="P27" s="553"/>
      <c r="Q27" s="553"/>
      <c r="R27" s="553"/>
      <c r="S27" s="553"/>
      <c r="T27" s="151"/>
      <c r="U27" s="151"/>
      <c r="V27" s="554"/>
      <c r="W27" s="554"/>
      <c r="X27" s="152" t="s">
        <v>14</v>
      </c>
      <c r="Y27" s="554"/>
      <c r="Z27" s="554"/>
      <c r="AC27" s="147"/>
      <c r="AE27" s="143"/>
      <c r="AF27" s="143"/>
      <c r="AG27" s="143"/>
      <c r="AH27" s="143"/>
      <c r="AI27" s="141"/>
    </row>
    <row r="28" spans="3:35" ht="18" customHeight="1">
      <c r="C28" s="153" t="s">
        <v>77</v>
      </c>
      <c r="D28" s="553" t="str">
        <f>IF($H$63=1,'Lizenz Nr.- Eingabe'!F34,#REF!)</f>
        <v>RVS Obernfeld I</v>
      </c>
      <c r="E28" s="553"/>
      <c r="F28" s="553"/>
      <c r="G28" s="553"/>
      <c r="H28" s="553"/>
      <c r="I28" s="553"/>
      <c r="J28" s="553"/>
      <c r="K28" s="150" t="s">
        <v>85</v>
      </c>
      <c r="L28" s="553" t="str">
        <f>IF($H$63=1,'Lizenz Nr.- Eingabe'!K34,#REF!)</f>
        <v>RV Etelsen II</v>
      </c>
      <c r="M28" s="553"/>
      <c r="N28" s="553"/>
      <c r="O28" s="553"/>
      <c r="P28" s="553"/>
      <c r="Q28" s="553"/>
      <c r="R28" s="553"/>
      <c r="S28" s="553"/>
      <c r="T28" s="151"/>
      <c r="U28" s="151"/>
      <c r="V28" s="554"/>
      <c r="W28" s="554"/>
      <c r="X28" s="152" t="s">
        <v>14</v>
      </c>
      <c r="Y28" s="554"/>
      <c r="Z28" s="554"/>
      <c r="AC28" s="147"/>
      <c r="AE28" s="143"/>
      <c r="AF28" s="143"/>
      <c r="AG28" s="143"/>
      <c r="AH28" s="143"/>
      <c r="AI28" s="141"/>
    </row>
    <row r="29" spans="3:35" ht="18" customHeight="1">
      <c r="C29" s="149" t="s">
        <v>78</v>
      </c>
      <c r="D29" s="553" t="str">
        <f>IF($H$63=1,'Lizenz Nr.- Eingabe'!F35,#REF!)</f>
        <v>RV Etelsen I</v>
      </c>
      <c r="E29" s="553"/>
      <c r="F29" s="553"/>
      <c r="G29" s="553"/>
      <c r="H29" s="553"/>
      <c r="I29" s="553"/>
      <c r="J29" s="553"/>
      <c r="K29" s="150" t="s">
        <v>85</v>
      </c>
      <c r="L29" s="553" t="str">
        <f>IF($H$63=1,'Lizenz Nr.- Eingabe'!K35,#REF!)</f>
        <v>RCG Hahndorf I</v>
      </c>
      <c r="M29" s="553"/>
      <c r="N29" s="553"/>
      <c r="O29" s="553"/>
      <c r="P29" s="553"/>
      <c r="Q29" s="553"/>
      <c r="R29" s="553"/>
      <c r="S29" s="553"/>
      <c r="T29" s="151"/>
      <c r="U29" s="151"/>
      <c r="V29" s="554"/>
      <c r="W29" s="554"/>
      <c r="X29" s="152" t="s">
        <v>14</v>
      </c>
      <c r="Y29" s="554"/>
      <c r="Z29" s="554"/>
      <c r="AC29" s="147"/>
      <c r="AE29" s="143"/>
      <c r="AF29" s="143"/>
      <c r="AG29" s="143"/>
      <c r="AH29" s="143"/>
      <c r="AI29" s="141"/>
    </row>
    <row r="30" spans="3:35" ht="18" customHeight="1">
      <c r="C30" s="149" t="s">
        <v>79</v>
      </c>
      <c r="D30" s="553" t="str">
        <f>IF($H$63=1,'Lizenz Nr.- Eingabe'!F36,#REF!)</f>
        <v>RVM Bilshausen I</v>
      </c>
      <c r="E30" s="553"/>
      <c r="F30" s="553"/>
      <c r="G30" s="553"/>
      <c r="H30" s="553"/>
      <c r="I30" s="553"/>
      <c r="J30" s="553"/>
      <c r="K30" s="150" t="s">
        <v>85</v>
      </c>
      <c r="L30" s="553" t="str">
        <f>IF($H$63=1,'Lizenz Nr.- Eingabe'!K36,#REF!)</f>
        <v>RVS Obernfeld I</v>
      </c>
      <c r="M30" s="553"/>
      <c r="N30" s="553"/>
      <c r="O30" s="553"/>
      <c r="P30" s="553"/>
      <c r="Q30" s="553"/>
      <c r="R30" s="553"/>
      <c r="S30" s="553"/>
      <c r="T30" s="151"/>
      <c r="U30" s="151"/>
      <c r="V30" s="554"/>
      <c r="W30" s="554"/>
      <c r="X30" s="152" t="s">
        <v>14</v>
      </c>
      <c r="Y30" s="554"/>
      <c r="Z30" s="554"/>
      <c r="AC30" s="147"/>
      <c r="AE30" s="143"/>
      <c r="AF30" s="143"/>
      <c r="AG30" s="143"/>
      <c r="AH30" s="143"/>
      <c r="AI30" s="141"/>
    </row>
    <row r="31" spans="3:35" ht="18" customHeight="1">
      <c r="C31" s="153" t="s">
        <v>80</v>
      </c>
      <c r="D31" s="553" t="str">
        <f>IF($H$63=1,'Lizenz Nr.- Eingabe'!F37,#REF!)</f>
        <v>RCG Hahndorf I</v>
      </c>
      <c r="E31" s="553"/>
      <c r="F31" s="553"/>
      <c r="G31" s="553"/>
      <c r="H31" s="553"/>
      <c r="I31" s="553"/>
      <c r="J31" s="553"/>
      <c r="K31" s="150" t="s">
        <v>85</v>
      </c>
      <c r="L31" s="553" t="str">
        <f>IF($H$63=1,'Lizenz Nr.- Eingabe'!K37,#REF!)</f>
        <v>RV Etelsen II</v>
      </c>
      <c r="M31" s="553"/>
      <c r="N31" s="553"/>
      <c r="O31" s="553"/>
      <c r="P31" s="553"/>
      <c r="Q31" s="553"/>
      <c r="R31" s="553"/>
      <c r="S31" s="553"/>
      <c r="T31" s="151"/>
      <c r="U31" s="151"/>
      <c r="V31" s="554"/>
      <c r="W31" s="554"/>
      <c r="X31" s="152" t="s">
        <v>14</v>
      </c>
      <c r="Y31" s="554"/>
      <c r="Z31" s="554"/>
      <c r="AC31" s="147"/>
      <c r="AE31" s="143"/>
      <c r="AF31" s="143"/>
      <c r="AG31" s="143"/>
      <c r="AH31" s="143"/>
      <c r="AI31" s="141"/>
    </row>
    <row r="32" spans="3:35" ht="18" customHeight="1">
      <c r="C32" s="149" t="s">
        <v>81</v>
      </c>
      <c r="D32" s="553" t="str">
        <f>IF($H$63=1,'Lizenz Nr.- Eingabe'!F38,#REF!)</f>
        <v>RV Etelsen I</v>
      </c>
      <c r="E32" s="553"/>
      <c r="F32" s="553"/>
      <c r="G32" s="553"/>
      <c r="H32" s="553"/>
      <c r="I32" s="553"/>
      <c r="J32" s="553"/>
      <c r="K32" s="150" t="s">
        <v>85</v>
      </c>
      <c r="L32" s="553" t="str">
        <f>IF($H$63=1,'Lizenz Nr.- Eingabe'!K38,#REF!)</f>
        <v>RVS Obernfeld I</v>
      </c>
      <c r="M32" s="553"/>
      <c r="N32" s="553"/>
      <c r="O32" s="553"/>
      <c r="P32" s="553"/>
      <c r="Q32" s="553"/>
      <c r="R32" s="553"/>
      <c r="S32" s="553"/>
      <c r="T32" s="151"/>
      <c r="U32" s="151"/>
      <c r="V32" s="554"/>
      <c r="W32" s="554"/>
      <c r="X32" s="152" t="s">
        <v>14</v>
      </c>
      <c r="Y32" s="554"/>
      <c r="Z32" s="554"/>
      <c r="AC32" s="141"/>
      <c r="AD32" s="141"/>
      <c r="AE32" s="141"/>
      <c r="AF32" s="141"/>
      <c r="AG32" s="141"/>
      <c r="AH32" s="141"/>
      <c r="AI32" s="141"/>
    </row>
    <row r="33" spans="3:26" ht="18" customHeight="1">
      <c r="C33" s="149" t="s">
        <v>82</v>
      </c>
      <c r="D33" s="553" t="str">
        <f>IF($H$63=1,'Lizenz Nr.- Eingabe'!F39,#REF!)</f>
        <v>RVM Bilshausen I</v>
      </c>
      <c r="E33" s="553"/>
      <c r="F33" s="553"/>
      <c r="G33" s="553"/>
      <c r="H33" s="553"/>
      <c r="I33" s="553"/>
      <c r="J33" s="553"/>
      <c r="K33" s="150" t="s">
        <v>85</v>
      </c>
      <c r="L33" s="553" t="str">
        <f>IF($H$63=1,'Lizenz Nr.- Eingabe'!K39,#REF!)</f>
        <v>RV Etelsen II</v>
      </c>
      <c r="M33" s="553"/>
      <c r="N33" s="553"/>
      <c r="O33" s="553"/>
      <c r="P33" s="553"/>
      <c r="Q33" s="553"/>
      <c r="R33" s="553"/>
      <c r="S33" s="553"/>
      <c r="T33" s="151"/>
      <c r="U33" s="151"/>
      <c r="V33" s="554"/>
      <c r="W33" s="554"/>
      <c r="X33" s="152" t="s">
        <v>14</v>
      </c>
      <c r="Y33" s="554"/>
      <c r="Z33" s="554"/>
    </row>
    <row r="34" spans="3:26" ht="18" customHeight="1">
      <c r="C34" s="153" t="s">
        <v>83</v>
      </c>
      <c r="D34" s="553" t="str">
        <f>IF($H$63=1,'Lizenz Nr.- Eingabe'!F40,#REF!)</f>
        <v>RCG Hahndorf I</v>
      </c>
      <c r="E34" s="553"/>
      <c r="F34" s="553"/>
      <c r="G34" s="553"/>
      <c r="H34" s="553"/>
      <c r="I34" s="553"/>
      <c r="J34" s="553"/>
      <c r="K34" s="150" t="s">
        <v>85</v>
      </c>
      <c r="L34" s="553" t="str">
        <f>IF($H$63=1,'Lizenz Nr.- Eingabe'!K40,#REF!)</f>
        <v>RVS Obernfeld I</v>
      </c>
      <c r="M34" s="553"/>
      <c r="N34" s="553"/>
      <c r="O34" s="553"/>
      <c r="P34" s="553"/>
      <c r="Q34" s="553"/>
      <c r="R34" s="553"/>
      <c r="S34" s="553"/>
      <c r="T34" s="151"/>
      <c r="U34" s="151"/>
      <c r="V34" s="554"/>
      <c r="W34" s="554"/>
      <c r="X34" s="152" t="s">
        <v>14</v>
      </c>
      <c r="Y34" s="554"/>
      <c r="Z34" s="554"/>
    </row>
    <row r="35" spans="3:26" ht="18" customHeight="1">
      <c r="C35" s="149" t="s">
        <v>24</v>
      </c>
      <c r="D35" s="553" t="str">
        <f>IF($H$63=1,'Lizenz Nr.- Eingabe'!F41,#REF!)</f>
        <v>RV Etelsen I</v>
      </c>
      <c r="E35" s="553"/>
      <c r="F35" s="553"/>
      <c r="G35" s="553"/>
      <c r="H35" s="553"/>
      <c r="I35" s="553"/>
      <c r="J35" s="553"/>
      <c r="K35" s="150" t="s">
        <v>85</v>
      </c>
      <c r="L35" s="553" t="str">
        <f>IF($H$63=1,'Lizenz Nr.- Eingabe'!K41,#REF!)</f>
        <v>RVM Bilshausen I</v>
      </c>
      <c r="M35" s="553"/>
      <c r="N35" s="553"/>
      <c r="O35" s="553"/>
      <c r="P35" s="553"/>
      <c r="Q35" s="553"/>
      <c r="R35" s="553"/>
      <c r="S35" s="553"/>
      <c r="T35" s="151"/>
      <c r="U35" s="151"/>
      <c r="V35" s="554"/>
      <c r="W35" s="554"/>
      <c r="X35" s="152" t="s">
        <v>14</v>
      </c>
      <c r="Y35" s="554"/>
      <c r="Z35" s="554"/>
    </row>
    <row r="36" spans="3:26" ht="18" customHeight="1">
      <c r="C36" s="149" t="s">
        <v>25</v>
      </c>
      <c r="D36" s="553">
        <f>IF($H$63=1,'Lizenz Nr.- Eingabe'!F42,#REF!)</f>
      </c>
      <c r="E36" s="553"/>
      <c r="F36" s="553"/>
      <c r="G36" s="553"/>
      <c r="H36" s="553"/>
      <c r="I36" s="553"/>
      <c r="J36" s="553"/>
      <c r="K36" s="150" t="s">
        <v>85</v>
      </c>
      <c r="L36" s="553">
        <f>IF($H$63=1,'Lizenz Nr.- Eingabe'!K42,#REF!)</f>
      </c>
      <c r="M36" s="553"/>
      <c r="N36" s="553"/>
      <c r="O36" s="553"/>
      <c r="P36" s="553"/>
      <c r="Q36" s="553"/>
      <c r="R36" s="553"/>
      <c r="S36" s="553"/>
      <c r="T36" s="151"/>
      <c r="U36" s="151"/>
      <c r="V36" s="554"/>
      <c r="W36" s="554"/>
      <c r="X36" s="152" t="s">
        <v>14</v>
      </c>
      <c r="Y36" s="554"/>
      <c r="Z36" s="554"/>
    </row>
    <row r="37" spans="3:26" ht="18" customHeight="1">
      <c r="C37" s="153" t="s">
        <v>26</v>
      </c>
      <c r="D37" s="553">
        <f>IF($H$63=1,'Lizenz Nr.- Eingabe'!F43,#REF!)</f>
      </c>
      <c r="E37" s="553"/>
      <c r="F37" s="553"/>
      <c r="G37" s="553"/>
      <c r="H37" s="553"/>
      <c r="I37" s="553"/>
      <c r="J37" s="553"/>
      <c r="K37" s="150" t="s">
        <v>85</v>
      </c>
      <c r="L37" s="553">
        <f>IF($H$63=1,'Lizenz Nr.- Eingabe'!K43,#REF!)</f>
      </c>
      <c r="M37" s="553"/>
      <c r="N37" s="553"/>
      <c r="O37" s="553"/>
      <c r="P37" s="553"/>
      <c r="Q37" s="553"/>
      <c r="R37" s="553"/>
      <c r="S37" s="553"/>
      <c r="T37" s="151"/>
      <c r="U37" s="151"/>
      <c r="V37" s="554"/>
      <c r="W37" s="554"/>
      <c r="X37" s="152" t="s">
        <v>14</v>
      </c>
      <c r="Y37" s="554"/>
      <c r="Z37" s="554"/>
    </row>
    <row r="38" spans="3:26" ht="18" customHeight="1">
      <c r="C38" s="149" t="s">
        <v>27</v>
      </c>
      <c r="D38" s="553">
        <f>IF($H$63=1,'Lizenz Nr.- Eingabe'!F44,#REF!)</f>
      </c>
      <c r="E38" s="553"/>
      <c r="F38" s="553"/>
      <c r="G38" s="553"/>
      <c r="H38" s="553"/>
      <c r="I38" s="553"/>
      <c r="J38" s="553"/>
      <c r="K38" s="150" t="s">
        <v>85</v>
      </c>
      <c r="L38" s="553">
        <f>IF($H$63=1,'Lizenz Nr.- Eingabe'!K44,#REF!)</f>
      </c>
      <c r="M38" s="553"/>
      <c r="N38" s="553"/>
      <c r="O38" s="553"/>
      <c r="P38" s="553"/>
      <c r="Q38" s="553"/>
      <c r="R38" s="553"/>
      <c r="S38" s="553"/>
      <c r="T38" s="151"/>
      <c r="U38" s="151"/>
      <c r="V38" s="554"/>
      <c r="W38" s="554"/>
      <c r="X38" s="152" t="s">
        <v>14</v>
      </c>
      <c r="Y38" s="554"/>
      <c r="Z38" s="554"/>
    </row>
    <row r="39" spans="3:26" ht="18" customHeight="1">
      <c r="C39" s="149" t="s">
        <v>28</v>
      </c>
      <c r="D39" s="553">
        <f>IF($H$63=1,'Lizenz Nr.- Eingabe'!F45,#REF!)</f>
      </c>
      <c r="E39" s="553"/>
      <c r="F39" s="553"/>
      <c r="G39" s="553"/>
      <c r="H39" s="553"/>
      <c r="I39" s="553"/>
      <c r="J39" s="553"/>
      <c r="K39" s="150" t="s">
        <v>85</v>
      </c>
      <c r="L39" s="553">
        <f>IF($H$63=1,'Lizenz Nr.- Eingabe'!K45,#REF!)</f>
      </c>
      <c r="M39" s="553"/>
      <c r="N39" s="553"/>
      <c r="O39" s="553"/>
      <c r="P39" s="553"/>
      <c r="Q39" s="553"/>
      <c r="R39" s="553"/>
      <c r="S39" s="553"/>
      <c r="T39" s="151"/>
      <c r="U39" s="151"/>
      <c r="V39" s="554"/>
      <c r="W39" s="554"/>
      <c r="X39" s="152" t="s">
        <v>14</v>
      </c>
      <c r="Y39" s="554"/>
      <c r="Z39" s="554"/>
    </row>
    <row r="40" spans="3:26" ht="18" customHeight="1">
      <c r="C40" s="149" t="s">
        <v>29</v>
      </c>
      <c r="D40" s="553">
        <f>IF($H$63=1,'Lizenz Nr.- Eingabe'!W32,#REF!)</f>
      </c>
      <c r="E40" s="553"/>
      <c r="F40" s="553"/>
      <c r="G40" s="553"/>
      <c r="H40" s="553"/>
      <c r="I40" s="553"/>
      <c r="J40" s="553"/>
      <c r="K40" s="150" t="s">
        <v>85</v>
      </c>
      <c r="L40" s="553">
        <f>IF($H$63=1,'Lizenz Nr.- Eingabe'!AB32,#REF!)</f>
      </c>
      <c r="M40" s="553"/>
      <c r="N40" s="553"/>
      <c r="O40" s="553"/>
      <c r="P40" s="553"/>
      <c r="Q40" s="553"/>
      <c r="R40" s="553"/>
      <c r="S40" s="553"/>
      <c r="T40" s="151"/>
      <c r="U40" s="151"/>
      <c r="V40" s="554"/>
      <c r="W40" s="554"/>
      <c r="X40" s="152" t="s">
        <v>14</v>
      </c>
      <c r="Y40" s="554"/>
      <c r="Z40" s="554"/>
    </row>
    <row r="41" spans="3:27" ht="9.75" customHeight="1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3:27" ht="18.75" customHeight="1">
      <c r="C42" s="117" t="s">
        <v>155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3:27" ht="18.75" customHeight="1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3:27" ht="13.5" customHeight="1">
      <c r="C44" s="575" t="s">
        <v>154</v>
      </c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</row>
    <row r="45" spans="3:27" ht="3.75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3:27" ht="13.5" customHeight="1"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</row>
    <row r="47" ht="12" customHeight="1"/>
    <row r="48" spans="21:27" ht="14.25">
      <c r="U48" s="154"/>
      <c r="V48" s="154"/>
      <c r="W48" s="274"/>
      <c r="X48" s="274"/>
      <c r="Y48" s="274"/>
      <c r="Z48" s="274"/>
      <c r="AA48" s="274"/>
    </row>
    <row r="58" ht="12.75" customHeight="1"/>
    <row r="59" ht="12.75" customHeight="1"/>
    <row r="60" ht="12.75" customHeight="1"/>
    <row r="61" ht="12.75" customHeight="1"/>
    <row r="62" ht="12.75" customHeight="1" thickBot="1"/>
    <row r="63" spans="2:36" ht="12.75" customHeight="1">
      <c r="B63" s="580" t="s">
        <v>130</v>
      </c>
      <c r="C63" s="581"/>
      <c r="D63" s="581"/>
      <c r="E63" s="581"/>
      <c r="F63" s="581"/>
      <c r="G63" s="581"/>
      <c r="H63" s="584">
        <f>Optionen!Q19</f>
        <v>1</v>
      </c>
      <c r="I63" s="556" t="str">
        <f>IF(H63=1,"Lizenz Nr.- Eingabe","Hand - Eingabe")</f>
        <v>Lizenz Nr.- Eingabe</v>
      </c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/>
      <c r="AB63" s="557"/>
      <c r="AC63" s="557"/>
      <c r="AD63" s="557"/>
      <c r="AE63" s="557"/>
      <c r="AF63" s="557"/>
      <c r="AG63" s="557"/>
      <c r="AH63" s="557"/>
      <c r="AI63" s="557"/>
      <c r="AJ63" s="558"/>
    </row>
    <row r="64" spans="2:36" ht="12.75" customHeight="1" thickBot="1">
      <c r="B64" s="582"/>
      <c r="C64" s="583"/>
      <c r="D64" s="583"/>
      <c r="E64" s="583"/>
      <c r="F64" s="583"/>
      <c r="G64" s="583"/>
      <c r="H64" s="585"/>
      <c r="I64" s="559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1"/>
    </row>
    <row r="65" spans="2:36" ht="20.25" customHeight="1" thickBot="1">
      <c r="B65" s="566"/>
      <c r="C65" s="567"/>
      <c r="D65" s="567"/>
      <c r="E65" s="567"/>
      <c r="F65" s="568"/>
      <c r="G65" s="569" t="s">
        <v>131</v>
      </c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1"/>
      <c r="W65" s="572" t="s">
        <v>132</v>
      </c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4"/>
    </row>
    <row r="66" spans="1:36" ht="12.75" customHeight="1" thickBot="1">
      <c r="A66" s="155"/>
      <c r="B66" s="156" t="s">
        <v>56</v>
      </c>
      <c r="C66" s="562" t="s">
        <v>70</v>
      </c>
      <c r="D66" s="563"/>
      <c r="E66" s="592" t="s">
        <v>125</v>
      </c>
      <c r="F66" s="593"/>
      <c r="G66" s="592" t="s">
        <v>68</v>
      </c>
      <c r="H66" s="594"/>
      <c r="I66" s="592" t="s">
        <v>69</v>
      </c>
      <c r="J66" s="595"/>
      <c r="K66" s="596"/>
      <c r="L66" s="157" t="s">
        <v>126</v>
      </c>
      <c r="M66" s="157"/>
      <c r="N66" s="156" t="s">
        <v>127</v>
      </c>
      <c r="O66" s="592" t="s">
        <v>129</v>
      </c>
      <c r="P66" s="615"/>
      <c r="Q66" s="615"/>
      <c r="R66" s="615"/>
      <c r="S66" s="615"/>
      <c r="T66" s="615"/>
      <c r="U66" s="615"/>
      <c r="V66" s="594"/>
      <c r="W66" s="592" t="s">
        <v>46</v>
      </c>
      <c r="X66" s="607"/>
      <c r="Y66" s="607"/>
      <c r="Z66" s="607"/>
      <c r="AA66" s="607"/>
      <c r="AB66" s="593"/>
      <c r="AC66" s="592" t="s">
        <v>133</v>
      </c>
      <c r="AD66" s="607"/>
      <c r="AE66" s="607"/>
      <c r="AF66" s="607"/>
      <c r="AG66" s="607"/>
      <c r="AH66" s="607"/>
      <c r="AI66" s="607"/>
      <c r="AJ66" s="593"/>
    </row>
    <row r="67" spans="1:36" ht="12.75" customHeight="1">
      <c r="A67" s="155"/>
      <c r="B67" s="576">
        <v>1</v>
      </c>
      <c r="C67" s="578">
        <f>IF($H$63=1,'Lizenz Nr.- Eingabe'!AP15,#REF!)</f>
        <v>10090010034</v>
      </c>
      <c r="D67" s="579"/>
      <c r="E67" s="587" t="str">
        <f>IF(C67&gt;0,VLOOKUP(C67,'[1]Lizenzen'!$D$8:$K$2836,2,FALSE),"")</f>
        <v>NDS</v>
      </c>
      <c r="F67" s="588"/>
      <c r="G67" s="589" t="str">
        <f>IF(C67&gt;0,VLOOKUP(C67,'[1]Lizenzen'!D8:K2836,5,FALSE),"")</f>
        <v>Laviletta</v>
      </c>
      <c r="H67" s="354"/>
      <c r="I67" s="589" t="str">
        <f>IF(C67&gt;0,VLOOKUP(C67,'[1]Lizenzen'!$D$8:$K$2836,6,FALSE),"")</f>
        <v>Mario</v>
      </c>
      <c r="J67" s="353"/>
      <c r="K67" s="354"/>
      <c r="L67" s="158" t="s">
        <v>67</v>
      </c>
      <c r="M67" s="158"/>
      <c r="N67" s="159" t="s">
        <v>128</v>
      </c>
      <c r="O67" s="611" t="str">
        <f>IF(C67&gt;0,CONCATENATE(I67,L67,G67,N67,I68,L67,G68),"")</f>
        <v>Mario Laviletta / Per-Lasse Steffens</v>
      </c>
      <c r="P67" s="609"/>
      <c r="Q67" s="609"/>
      <c r="R67" s="609"/>
      <c r="S67" s="609"/>
      <c r="T67" s="609"/>
      <c r="U67" s="609"/>
      <c r="V67" s="610"/>
      <c r="W67" s="608">
        <f>IF(ISTEXT(#REF!),#REF!,"")</f>
      </c>
      <c r="X67" s="609"/>
      <c r="Y67" s="609"/>
      <c r="Z67" s="609"/>
      <c r="AA67" s="609"/>
      <c r="AB67" s="610"/>
      <c r="AC67" s="597">
        <f>IF(ISTEXT(#REF!),CONCATENATE(W67,N67,W68),"")</f>
      </c>
      <c r="AD67" s="598"/>
      <c r="AE67" s="598"/>
      <c r="AF67" s="598"/>
      <c r="AG67" s="598"/>
      <c r="AH67" s="598"/>
      <c r="AI67" s="598"/>
      <c r="AJ67" s="599"/>
    </row>
    <row r="68" spans="1:36" ht="12.75" customHeight="1" thickBot="1">
      <c r="A68" s="155"/>
      <c r="B68" s="586"/>
      <c r="C68" s="555">
        <f>IF($H$63=1,'Lizenz Nr.- Eingabe'!AP16,#REF!)</f>
        <v>10090010035</v>
      </c>
      <c r="D68" s="342"/>
      <c r="E68" s="564" t="str">
        <f>IF(C68&gt;0,VLOOKUP(C68,'[1]Lizenzen'!$D$8:$K$2836,2,FALSE),"")</f>
        <v>NDS</v>
      </c>
      <c r="F68" s="565"/>
      <c r="G68" s="590" t="str">
        <f>IF(C68&gt;0,VLOOKUP(C68,'[1]Lizenzen'!D8:K2837,5,FALSE),"")</f>
        <v>Steffens</v>
      </c>
      <c r="H68" s="591"/>
      <c r="I68" s="590" t="str">
        <f>IF(C68&gt;0,VLOOKUP(C68,'[1]Lizenzen'!$D$8:$K$2836,6,FALSE),"")</f>
        <v>Per-Lasse</v>
      </c>
      <c r="J68" s="603"/>
      <c r="K68" s="591"/>
      <c r="L68" s="160" t="s">
        <v>67</v>
      </c>
      <c r="M68" s="160"/>
      <c r="N68" s="161" t="s">
        <v>128</v>
      </c>
      <c r="O68" s="612"/>
      <c r="P68" s="613"/>
      <c r="Q68" s="613"/>
      <c r="R68" s="613"/>
      <c r="S68" s="613"/>
      <c r="T68" s="613"/>
      <c r="U68" s="613"/>
      <c r="V68" s="614"/>
      <c r="W68" s="604">
        <f>IF(ISTEXT(#REF!),#REF!,"")</f>
      </c>
      <c r="X68" s="605"/>
      <c r="Y68" s="605"/>
      <c r="Z68" s="605"/>
      <c r="AA68" s="605"/>
      <c r="AB68" s="606"/>
      <c r="AC68" s="600"/>
      <c r="AD68" s="601"/>
      <c r="AE68" s="601"/>
      <c r="AF68" s="601"/>
      <c r="AG68" s="601"/>
      <c r="AH68" s="601"/>
      <c r="AI68" s="601"/>
      <c r="AJ68" s="602"/>
    </row>
    <row r="69" spans="1:36" ht="12.75" customHeight="1">
      <c r="A69" s="155"/>
      <c r="B69" s="576">
        <v>2</v>
      </c>
      <c r="C69" s="578">
        <f>IF($H$63=1,'Lizenz Nr.- Eingabe'!AP17,#REF!)</f>
        <v>10086782345</v>
      </c>
      <c r="D69" s="579"/>
      <c r="E69" s="587" t="str">
        <f>IF(C69&gt;0,VLOOKUP(C69,'[1]Lizenzen'!$D$8:$K$2836,2,FALSE),"")</f>
        <v>NDS</v>
      </c>
      <c r="F69" s="588"/>
      <c r="G69" s="589" t="str">
        <f>IF(C69&gt;0,VLOOKUP(C69,'[1]Lizenzen'!D8:K2838,5,FALSE),"")</f>
        <v>Jünemann</v>
      </c>
      <c r="H69" s="354"/>
      <c r="I69" s="589" t="str">
        <f>IF(C69&gt;0,VLOOKUP(C69,'[1]Lizenzen'!$D$8:$K$2836,6,FALSE),"")</f>
        <v>Lenny</v>
      </c>
      <c r="J69" s="353"/>
      <c r="K69" s="354"/>
      <c r="L69" s="158" t="s">
        <v>67</v>
      </c>
      <c r="M69" s="158"/>
      <c r="N69" s="159" t="s">
        <v>128</v>
      </c>
      <c r="O69" s="611" t="str">
        <f>IF(C69&gt;0,CONCATENATE(I69,L69,G69,N69,I70,L69,G70),"")</f>
        <v>Lenny Jünemann / Frederik Freiberg</v>
      </c>
      <c r="P69" s="609"/>
      <c r="Q69" s="609"/>
      <c r="R69" s="609"/>
      <c r="S69" s="609"/>
      <c r="T69" s="609"/>
      <c r="U69" s="609"/>
      <c r="V69" s="610"/>
      <c r="W69" s="616">
        <f>IF(ISTEXT(#REF!),#REF!,"")</f>
      </c>
      <c r="X69" s="617"/>
      <c r="Y69" s="617"/>
      <c r="Z69" s="617"/>
      <c r="AA69" s="617"/>
      <c r="AB69" s="618"/>
      <c r="AC69" s="597">
        <f>IF(ISTEXT(#REF!),CONCATENATE(W69,N69,W70),"")</f>
      </c>
      <c r="AD69" s="598"/>
      <c r="AE69" s="598"/>
      <c r="AF69" s="598"/>
      <c r="AG69" s="598"/>
      <c r="AH69" s="598"/>
      <c r="AI69" s="598"/>
      <c r="AJ69" s="599"/>
    </row>
    <row r="70" spans="1:36" ht="12.75" customHeight="1" thickBot="1">
      <c r="A70" s="155"/>
      <c r="B70" s="577"/>
      <c r="C70" s="555">
        <f>IF($H$63=1,'Lizenz Nr.- Eingabe'!AP18,#REF!)</f>
        <v>10086781537</v>
      </c>
      <c r="D70" s="342"/>
      <c r="E70" s="564" t="str">
        <f>IF(C70&gt;0,VLOOKUP(C70,'[1]Lizenzen'!$D$8:$K$2836,2,FALSE),"")</f>
        <v>NDS</v>
      </c>
      <c r="F70" s="565"/>
      <c r="G70" s="590" t="str">
        <f>IF(C70&gt;0,VLOOKUP(C70,'[1]Lizenzen'!D8:K2839,5,FALSE),"")</f>
        <v>Freiberg</v>
      </c>
      <c r="H70" s="591"/>
      <c r="I70" s="590" t="str">
        <f>IF(C70&gt;0,VLOOKUP(C70,'[1]Lizenzen'!$D$8:$K$2836,6,FALSE),"")</f>
        <v>Frederik</v>
      </c>
      <c r="J70" s="603"/>
      <c r="K70" s="591"/>
      <c r="L70" s="160" t="s">
        <v>67</v>
      </c>
      <c r="M70" s="160"/>
      <c r="N70" s="161" t="s">
        <v>128</v>
      </c>
      <c r="O70" s="612"/>
      <c r="P70" s="613"/>
      <c r="Q70" s="613"/>
      <c r="R70" s="613"/>
      <c r="S70" s="613"/>
      <c r="T70" s="613"/>
      <c r="U70" s="613"/>
      <c r="V70" s="614"/>
      <c r="W70" s="604">
        <f>IF(ISTEXT(#REF!),#REF!,"")</f>
      </c>
      <c r="X70" s="605"/>
      <c r="Y70" s="605"/>
      <c r="Z70" s="605"/>
      <c r="AA70" s="605"/>
      <c r="AB70" s="606"/>
      <c r="AC70" s="600"/>
      <c r="AD70" s="601"/>
      <c r="AE70" s="601"/>
      <c r="AF70" s="601"/>
      <c r="AG70" s="601"/>
      <c r="AH70" s="601"/>
      <c r="AI70" s="601"/>
      <c r="AJ70" s="602"/>
    </row>
    <row r="71" spans="1:36" ht="12.75" customHeight="1">
      <c r="A71" s="155"/>
      <c r="B71" s="586">
        <v>3</v>
      </c>
      <c r="C71" s="578">
        <f>IF($H$63=1,'Lizenz Nr.- Eingabe'!AP19,#REF!)</f>
        <v>10127479505</v>
      </c>
      <c r="D71" s="579"/>
      <c r="E71" s="587" t="str">
        <f>IF(C71&gt;0,VLOOKUP(C71,'[1]Lizenzen'!$D$8:$K$2836,2,FALSE),"")</f>
        <v>NDS</v>
      </c>
      <c r="F71" s="588"/>
      <c r="G71" s="589" t="str">
        <f>IF(C71&gt;0,VLOOKUP(C71,'[1]Lizenzen'!D8:K2840,5,FALSE),"")</f>
        <v>Lehmann</v>
      </c>
      <c r="H71" s="354"/>
      <c r="I71" s="589" t="str">
        <f>IF(C71&gt;0,VLOOKUP(C71,'[1]Lizenzen'!$D$8:$K$2836,6,FALSE),"")</f>
        <v>Maximilian</v>
      </c>
      <c r="J71" s="353"/>
      <c r="K71" s="354"/>
      <c r="L71" s="158" t="s">
        <v>67</v>
      </c>
      <c r="M71" s="158"/>
      <c r="N71" s="159" t="s">
        <v>128</v>
      </c>
      <c r="O71" s="611" t="str">
        <f>IF(C71&gt;0,CONCATENATE(I71,L71,G71,N71,I72,L71,G72),"")</f>
        <v>Maximilian Lehmann / Noa Klipp</v>
      </c>
      <c r="P71" s="609"/>
      <c r="Q71" s="609"/>
      <c r="R71" s="609"/>
      <c r="S71" s="609"/>
      <c r="T71" s="609"/>
      <c r="U71" s="609"/>
      <c r="V71" s="610"/>
      <c r="W71" s="616">
        <f>IF(ISTEXT(#REF!),#REF!,"")</f>
      </c>
      <c r="X71" s="617"/>
      <c r="Y71" s="617"/>
      <c r="Z71" s="617"/>
      <c r="AA71" s="617"/>
      <c r="AB71" s="618"/>
      <c r="AC71" s="597">
        <f>IF(ISTEXT(#REF!),CONCATENATE(W71,N71,W72),"")</f>
      </c>
      <c r="AD71" s="598"/>
      <c r="AE71" s="598"/>
      <c r="AF71" s="598"/>
      <c r="AG71" s="598"/>
      <c r="AH71" s="598"/>
      <c r="AI71" s="598"/>
      <c r="AJ71" s="599"/>
    </row>
    <row r="72" spans="1:36" ht="12.75" customHeight="1" thickBot="1">
      <c r="A72" s="155"/>
      <c r="B72" s="586"/>
      <c r="C72" s="555">
        <f>IF($H$63=1,'Lizenz Nr.- Eingabe'!AP20,#REF!)</f>
        <v>10132449541</v>
      </c>
      <c r="D72" s="342"/>
      <c r="E72" s="564" t="str">
        <f>IF(C72&gt;0,VLOOKUP(C72,'[1]Lizenzen'!$D$8:$K$2836,2,FALSE),"")</f>
        <v>NDS</v>
      </c>
      <c r="F72" s="565"/>
      <c r="G72" s="590" t="str">
        <f>IF(C72&gt;0,VLOOKUP(C72,'[1]Lizenzen'!D8:K2841,5,FALSE),"")</f>
        <v>Klipp</v>
      </c>
      <c r="H72" s="591"/>
      <c r="I72" s="590" t="str">
        <f>IF(C72&gt;0,VLOOKUP(C72,'[1]Lizenzen'!$D$8:$K$2836,6,FALSE),"")</f>
        <v>Noa</v>
      </c>
      <c r="J72" s="603"/>
      <c r="K72" s="591"/>
      <c r="L72" s="160" t="s">
        <v>67</v>
      </c>
      <c r="M72" s="160"/>
      <c r="N72" s="161" t="s">
        <v>128</v>
      </c>
      <c r="O72" s="612"/>
      <c r="P72" s="613"/>
      <c r="Q72" s="613"/>
      <c r="R72" s="613"/>
      <c r="S72" s="613"/>
      <c r="T72" s="613"/>
      <c r="U72" s="613"/>
      <c r="V72" s="614"/>
      <c r="W72" s="604">
        <f>IF(ISTEXT(#REF!),#REF!,"")</f>
      </c>
      <c r="X72" s="605"/>
      <c r="Y72" s="605"/>
      <c r="Z72" s="605"/>
      <c r="AA72" s="605"/>
      <c r="AB72" s="606"/>
      <c r="AC72" s="600"/>
      <c r="AD72" s="601"/>
      <c r="AE72" s="601"/>
      <c r="AF72" s="601"/>
      <c r="AG72" s="601"/>
      <c r="AH72" s="601"/>
      <c r="AI72" s="601"/>
      <c r="AJ72" s="602"/>
    </row>
    <row r="73" spans="1:36" ht="12.75" customHeight="1">
      <c r="A73" s="155"/>
      <c r="B73" s="576">
        <v>4</v>
      </c>
      <c r="C73" s="578">
        <f>IF($H$63=1,'Lizenz Nr.- Eingabe'!AP21,#REF!)</f>
        <v>10145554746</v>
      </c>
      <c r="D73" s="579"/>
      <c r="E73" s="587" t="str">
        <f>IF(C73&gt;0,VLOOKUP(C73,'[1]Lizenzen'!$D$8:$K$2836,2,FALSE),"")</f>
        <v>NDS</v>
      </c>
      <c r="F73" s="588"/>
      <c r="G73" s="589" t="str">
        <f>IF(C73&gt;0,VLOOKUP(C73,'[1]Lizenzen'!D8:K2842,5,FALSE),"")</f>
        <v>Weiß</v>
      </c>
      <c r="H73" s="354"/>
      <c r="I73" s="589" t="str">
        <f>IF(C73&gt;0,VLOOKUP(C73,'[1]Lizenzen'!$D$8:$K$2836,6,FALSE),"")</f>
        <v>Henning</v>
      </c>
      <c r="J73" s="353"/>
      <c r="K73" s="354"/>
      <c r="L73" s="158" t="s">
        <v>67</v>
      </c>
      <c r="M73" s="158"/>
      <c r="N73" s="159" t="s">
        <v>128</v>
      </c>
      <c r="O73" s="611" t="str">
        <f>IF(C73&gt;0,CONCATENATE(I73,L73,G73,N73,I74,L73,G74),"")</f>
        <v>Henning Weiß / Jannes Mühe</v>
      </c>
      <c r="P73" s="609"/>
      <c r="Q73" s="609"/>
      <c r="R73" s="609"/>
      <c r="S73" s="609"/>
      <c r="T73" s="609"/>
      <c r="U73" s="609"/>
      <c r="V73" s="610"/>
      <c r="W73" s="616">
        <f>IF(ISTEXT(#REF!),#REF!,"")</f>
      </c>
      <c r="X73" s="617"/>
      <c r="Y73" s="617"/>
      <c r="Z73" s="617"/>
      <c r="AA73" s="617"/>
      <c r="AB73" s="618"/>
      <c r="AC73" s="597">
        <f>IF(ISTEXT(#REF!),CONCATENATE(W73,N73,W74),"")</f>
      </c>
      <c r="AD73" s="598"/>
      <c r="AE73" s="598"/>
      <c r="AF73" s="598"/>
      <c r="AG73" s="598"/>
      <c r="AH73" s="598"/>
      <c r="AI73" s="598"/>
      <c r="AJ73" s="599"/>
    </row>
    <row r="74" spans="1:36" ht="12.75" customHeight="1" thickBot="1">
      <c r="A74" s="155"/>
      <c r="B74" s="577"/>
      <c r="C74" s="555">
        <f>IF($H$63=1,'Lizenz Nr.- Eingabe'!AP22,#REF!)</f>
        <v>10146426433</v>
      </c>
      <c r="D74" s="342"/>
      <c r="E74" s="564" t="str">
        <f>IF(C74&gt;0,VLOOKUP(C74,'[1]Lizenzen'!$D$8:$K$2836,2,FALSE),"")</f>
        <v>NDS</v>
      </c>
      <c r="F74" s="565"/>
      <c r="G74" s="590" t="str">
        <f>IF(C74&gt;0,VLOOKUP(C74,'[1]Lizenzen'!D8:K2843,5,FALSE),"")</f>
        <v>Mühe</v>
      </c>
      <c r="H74" s="591"/>
      <c r="I74" s="590" t="str">
        <f>IF(C74&gt;0,VLOOKUP(C74,'[1]Lizenzen'!$D$8:$K$2836,6,FALSE),"")</f>
        <v>Jannes</v>
      </c>
      <c r="J74" s="603"/>
      <c r="K74" s="591"/>
      <c r="L74" s="160" t="s">
        <v>67</v>
      </c>
      <c r="M74" s="160"/>
      <c r="N74" s="161" t="s">
        <v>128</v>
      </c>
      <c r="O74" s="612"/>
      <c r="P74" s="613"/>
      <c r="Q74" s="613"/>
      <c r="R74" s="613"/>
      <c r="S74" s="613"/>
      <c r="T74" s="613"/>
      <c r="U74" s="613"/>
      <c r="V74" s="614"/>
      <c r="W74" s="604">
        <f>IF(ISTEXT(#REF!),#REF!,"")</f>
      </c>
      <c r="X74" s="605"/>
      <c r="Y74" s="605"/>
      <c r="Z74" s="605"/>
      <c r="AA74" s="605"/>
      <c r="AB74" s="606"/>
      <c r="AC74" s="600"/>
      <c r="AD74" s="601"/>
      <c r="AE74" s="601"/>
      <c r="AF74" s="601"/>
      <c r="AG74" s="601"/>
      <c r="AH74" s="601"/>
      <c r="AI74" s="601"/>
      <c r="AJ74" s="602"/>
    </row>
    <row r="75" spans="1:36" ht="12.75" customHeight="1">
      <c r="A75" s="155"/>
      <c r="B75" s="586">
        <v>5</v>
      </c>
      <c r="C75" s="578">
        <f>IF($H$63=1,'Lizenz Nr.- Eingabe'!AP23,#REF!)</f>
        <v>10090010036</v>
      </c>
      <c r="D75" s="579"/>
      <c r="E75" s="587" t="str">
        <f>IF(C75&gt;0,VLOOKUP(C75,'[1]Lizenzen'!$D$8:$K$2836,2,FALSE),"")</f>
        <v>NDS</v>
      </c>
      <c r="F75" s="588"/>
      <c r="G75" s="589" t="str">
        <f>IF(C75&gt;0,VLOOKUP(C75,'[1]Lizenzen'!D8:K2844,5,FALSE),"")</f>
        <v>Polack</v>
      </c>
      <c r="H75" s="354"/>
      <c r="I75" s="589" t="str">
        <f>IF(C75&gt;0,VLOOKUP(C75,'[1]Lizenzen'!$D$8:$K$2836,6,FALSE),"")</f>
        <v>Julian</v>
      </c>
      <c r="J75" s="353"/>
      <c r="K75" s="354"/>
      <c r="L75" s="158" t="s">
        <v>67</v>
      </c>
      <c r="M75" s="158"/>
      <c r="N75" s="159" t="s">
        <v>128</v>
      </c>
      <c r="O75" s="611" t="str">
        <f>IF(C75&gt;0,CONCATENATE(I75,L75,G75,N75,I76,L75,G76),"")</f>
        <v>Julian Polack / Devin Schwartz</v>
      </c>
      <c r="P75" s="609"/>
      <c r="Q75" s="609"/>
      <c r="R75" s="609"/>
      <c r="S75" s="609"/>
      <c r="T75" s="609"/>
      <c r="U75" s="609"/>
      <c r="V75" s="610"/>
      <c r="W75" s="616">
        <f>IF(ISTEXT(#REF!),#REF!,"")</f>
      </c>
      <c r="X75" s="617"/>
      <c r="Y75" s="617"/>
      <c r="Z75" s="617"/>
      <c r="AA75" s="617"/>
      <c r="AB75" s="618"/>
      <c r="AC75" s="597">
        <f>IF(ISTEXT(#REF!),CONCATENATE(W75,N75,W76),"")</f>
      </c>
      <c r="AD75" s="598"/>
      <c r="AE75" s="598"/>
      <c r="AF75" s="598"/>
      <c r="AG75" s="598"/>
      <c r="AH75" s="598"/>
      <c r="AI75" s="598"/>
      <c r="AJ75" s="599"/>
    </row>
    <row r="76" spans="1:36" ht="12.75" customHeight="1" thickBot="1">
      <c r="A76" s="155"/>
      <c r="B76" s="586"/>
      <c r="C76" s="555">
        <f>IF($H$63=1,'Lizenz Nr.- Eingabe'!AP24,#REF!)</f>
        <v>10090010037</v>
      </c>
      <c r="D76" s="342"/>
      <c r="E76" s="564" t="str">
        <f>IF(C76&gt;0,VLOOKUP(C76,'[1]Lizenzen'!$D$8:$K$2836,2,FALSE),"")</f>
        <v>NDS</v>
      </c>
      <c r="F76" s="565"/>
      <c r="G76" s="590" t="str">
        <f>IF(C76&gt;0,VLOOKUP(C76,'[1]Lizenzen'!D8:K2845,5,FALSE),"")</f>
        <v>Schwartz</v>
      </c>
      <c r="H76" s="591"/>
      <c r="I76" s="590" t="str">
        <f>IF(C76&gt;0,VLOOKUP(C76,'[1]Lizenzen'!$D$8:$K$2836,6,FALSE),"")</f>
        <v>Devin</v>
      </c>
      <c r="J76" s="603"/>
      <c r="K76" s="591"/>
      <c r="L76" s="160" t="s">
        <v>67</v>
      </c>
      <c r="M76" s="160"/>
      <c r="N76" s="161" t="s">
        <v>128</v>
      </c>
      <c r="O76" s="612"/>
      <c r="P76" s="613"/>
      <c r="Q76" s="613"/>
      <c r="R76" s="613"/>
      <c r="S76" s="613"/>
      <c r="T76" s="613"/>
      <c r="U76" s="613"/>
      <c r="V76" s="614"/>
      <c r="W76" s="604">
        <f>IF(ISTEXT(#REF!),#REF!,"")</f>
      </c>
      <c r="X76" s="605"/>
      <c r="Y76" s="605"/>
      <c r="Z76" s="605"/>
      <c r="AA76" s="605"/>
      <c r="AB76" s="606"/>
      <c r="AC76" s="600"/>
      <c r="AD76" s="601"/>
      <c r="AE76" s="601"/>
      <c r="AF76" s="601"/>
      <c r="AG76" s="601"/>
      <c r="AH76" s="601"/>
      <c r="AI76" s="601"/>
      <c r="AJ76" s="602"/>
    </row>
    <row r="77" spans="1:36" ht="12.75" customHeight="1">
      <c r="A77" s="155"/>
      <c r="B77" s="576">
        <v>6</v>
      </c>
      <c r="C77" s="578">
        <f>IF($H$63=1,'Lizenz Nr.- Eingabe'!AP25,#REF!)</f>
        <v>0</v>
      </c>
      <c r="D77" s="579"/>
      <c r="E77" s="587">
        <f>IF(C77&gt;0,VLOOKUP(C77,'[1]Lizenzen'!$D$8:$K$2836,2,FALSE),"")</f>
      </c>
      <c r="F77" s="588"/>
      <c r="G77" s="589">
        <f>IF(C77&gt;0,VLOOKUP(C77,'[1]Lizenzen'!D8:K2846,5,FALSE),"")</f>
      </c>
      <c r="H77" s="354"/>
      <c r="I77" s="589">
        <f>IF(C77&gt;0,VLOOKUP(C77,'[1]Lizenzen'!$D$8:$K$2836,6,FALSE),"")</f>
      </c>
      <c r="J77" s="353"/>
      <c r="K77" s="354"/>
      <c r="L77" s="158" t="s">
        <v>67</v>
      </c>
      <c r="M77" s="158"/>
      <c r="N77" s="159" t="s">
        <v>128</v>
      </c>
      <c r="O77" s="611">
        <f>IF(C77&gt;0,CONCATENATE(I77,L77,G77,N77,I78,L77,G78),"")</f>
      </c>
      <c r="P77" s="609"/>
      <c r="Q77" s="609"/>
      <c r="R77" s="609"/>
      <c r="S77" s="609"/>
      <c r="T77" s="609"/>
      <c r="U77" s="609"/>
      <c r="V77" s="610"/>
      <c r="W77" s="616">
        <f>IF(ISTEXT(#REF!),#REF!,"")</f>
      </c>
      <c r="X77" s="617"/>
      <c r="Y77" s="617"/>
      <c r="Z77" s="617"/>
      <c r="AA77" s="617"/>
      <c r="AB77" s="618"/>
      <c r="AC77" s="597">
        <f>IF(ISTEXT(#REF!),CONCATENATE(W77,N77,W78),"")</f>
      </c>
      <c r="AD77" s="598"/>
      <c r="AE77" s="598"/>
      <c r="AF77" s="598"/>
      <c r="AG77" s="598"/>
      <c r="AH77" s="598"/>
      <c r="AI77" s="598"/>
      <c r="AJ77" s="599"/>
    </row>
    <row r="78" spans="1:36" ht="12.75" customHeight="1" thickBot="1">
      <c r="A78" s="155"/>
      <c r="B78" s="577"/>
      <c r="C78" s="555">
        <f>IF($H$63=1,'Lizenz Nr.- Eingabe'!AP26,#REF!)</f>
        <v>0</v>
      </c>
      <c r="D78" s="342"/>
      <c r="E78" s="564">
        <f>IF(C78&gt;0,VLOOKUP(C78,'[1]Lizenzen'!$D$8:$K$2836,2,FALSE),"")</f>
      </c>
      <c r="F78" s="565"/>
      <c r="G78" s="590">
        <f>IF(C78&gt;0,VLOOKUP(C78,'[1]Lizenzen'!D8:K2847,5,FALSE),"")</f>
      </c>
      <c r="H78" s="591"/>
      <c r="I78" s="590">
        <f>IF(C78&gt;0,VLOOKUP(C78,'[1]Lizenzen'!$D$8:$K$2836,6,FALSE),"")</f>
      </c>
      <c r="J78" s="603"/>
      <c r="K78" s="591"/>
      <c r="L78" s="160" t="s">
        <v>67</v>
      </c>
      <c r="M78" s="160"/>
      <c r="N78" s="161" t="s">
        <v>128</v>
      </c>
      <c r="O78" s="612"/>
      <c r="P78" s="613"/>
      <c r="Q78" s="613"/>
      <c r="R78" s="613"/>
      <c r="S78" s="613"/>
      <c r="T78" s="613"/>
      <c r="U78" s="613"/>
      <c r="V78" s="614"/>
      <c r="W78" s="604">
        <f>IF(ISTEXT(#REF!),#REF!,"")</f>
      </c>
      <c r="X78" s="605"/>
      <c r="Y78" s="605"/>
      <c r="Z78" s="605"/>
      <c r="AA78" s="605"/>
      <c r="AB78" s="606"/>
      <c r="AC78" s="600"/>
      <c r="AD78" s="601"/>
      <c r="AE78" s="601"/>
      <c r="AF78" s="601"/>
      <c r="AG78" s="601"/>
      <c r="AH78" s="601"/>
      <c r="AI78" s="601"/>
      <c r="AJ78" s="602"/>
    </row>
    <row r="79" spans="1:36" ht="12.75" customHeight="1">
      <c r="A79" s="155"/>
      <c r="B79" s="576">
        <v>7</v>
      </c>
      <c r="C79" s="578">
        <f>IF($H$63=1,'Lizenz Nr.- Eingabe'!AP27,#REF!)</f>
        <v>0</v>
      </c>
      <c r="D79" s="579"/>
      <c r="E79" s="587">
        <f>IF(C79&gt;0,VLOOKUP(C79,'[1]Lizenzen'!$D$8:$K$2836,2,FALSE),"")</f>
      </c>
      <c r="F79" s="588"/>
      <c r="G79" s="589">
        <f>IF(C79&gt;0,VLOOKUP(C79,'[1]Lizenzen'!D8:K2848,5,FALSE),"")</f>
      </c>
      <c r="H79" s="354"/>
      <c r="I79" s="589">
        <f>IF(C79&gt;0,VLOOKUP(C79,'[1]Lizenzen'!$D$8:$K$2836,6,FALSE),"")</f>
      </c>
      <c r="J79" s="353"/>
      <c r="K79" s="354"/>
      <c r="L79" s="158" t="s">
        <v>67</v>
      </c>
      <c r="M79" s="158"/>
      <c r="N79" s="159" t="s">
        <v>128</v>
      </c>
      <c r="O79" s="611">
        <f>IF(C79&gt;0,CONCATENATE(I79,L79,G79,N79,I80,L79,G80),"")</f>
      </c>
      <c r="P79" s="609"/>
      <c r="Q79" s="609"/>
      <c r="R79" s="609"/>
      <c r="S79" s="609"/>
      <c r="T79" s="609"/>
      <c r="U79" s="609"/>
      <c r="V79" s="610"/>
      <c r="W79" s="616">
        <f>IF(ISTEXT(#REF!),#REF!,"")</f>
      </c>
      <c r="X79" s="617"/>
      <c r="Y79" s="617"/>
      <c r="Z79" s="617"/>
      <c r="AA79" s="617"/>
      <c r="AB79" s="618"/>
      <c r="AC79" s="597">
        <f>IF(ISTEXT(#REF!),CONCATENATE(W79,N79,W80),"")</f>
      </c>
      <c r="AD79" s="598"/>
      <c r="AE79" s="598"/>
      <c r="AF79" s="598"/>
      <c r="AG79" s="598"/>
      <c r="AH79" s="598"/>
      <c r="AI79" s="598"/>
      <c r="AJ79" s="599"/>
    </row>
    <row r="80" spans="1:36" ht="12.75" customHeight="1" thickBot="1">
      <c r="A80" s="155"/>
      <c r="B80" s="577"/>
      <c r="C80" s="555">
        <f>IF($H$63=1,'Lizenz Nr.- Eingabe'!AP28,#REF!)</f>
        <v>0</v>
      </c>
      <c r="D80" s="342"/>
      <c r="E80" s="564">
        <f>IF(C80&gt;0,VLOOKUP(C80,'[1]Lizenzen'!$D$8:$K$2836,2,FALSE),"")</f>
      </c>
      <c r="F80" s="565"/>
      <c r="G80" s="590">
        <f>IF(C80&gt;0,VLOOKUP(C80,'[1]Lizenzen'!D8:K2849,5,FALSE),"")</f>
      </c>
      <c r="H80" s="591"/>
      <c r="I80" s="590">
        <f>IF(C80&gt;0,VLOOKUP(C80,'[1]Lizenzen'!$D$8:$K$2836,6,FALSE),"")</f>
      </c>
      <c r="J80" s="603"/>
      <c r="K80" s="591"/>
      <c r="L80" s="160" t="s">
        <v>67</v>
      </c>
      <c r="M80" s="160"/>
      <c r="N80" s="161" t="s">
        <v>128</v>
      </c>
      <c r="O80" s="612"/>
      <c r="P80" s="613"/>
      <c r="Q80" s="613"/>
      <c r="R80" s="613"/>
      <c r="S80" s="613"/>
      <c r="T80" s="613"/>
      <c r="U80" s="613"/>
      <c r="V80" s="614"/>
      <c r="W80" s="604">
        <f>IF(ISTEXT(#REF!),#REF!,"")</f>
      </c>
      <c r="X80" s="605"/>
      <c r="Y80" s="605"/>
      <c r="Z80" s="605"/>
      <c r="AA80" s="605"/>
      <c r="AB80" s="606"/>
      <c r="AC80" s="600"/>
      <c r="AD80" s="601"/>
      <c r="AE80" s="601"/>
      <c r="AF80" s="601"/>
      <c r="AG80" s="601"/>
      <c r="AH80" s="601"/>
      <c r="AI80" s="601"/>
      <c r="AJ80" s="602"/>
    </row>
    <row r="81" spans="1:36" ht="12.75" customHeight="1">
      <c r="A81" s="155"/>
      <c r="B81" s="586">
        <v>8</v>
      </c>
      <c r="C81" s="578">
        <f>IF($H$63=1,'Lizenz Nr.- Eingabe'!AP29,#REF!)</f>
        <v>0</v>
      </c>
      <c r="D81" s="579"/>
      <c r="E81" s="587">
        <f>IF(C81&gt;0,VLOOKUP(C81,'[1]Lizenzen'!$D$8:$K$2836,2,FALSE),"")</f>
      </c>
      <c r="F81" s="588"/>
      <c r="G81" s="589">
        <f>IF(C81&gt;0,VLOOKUP(C81,'[1]Lizenzen'!D8:K2850,5,FALSE),"")</f>
      </c>
      <c r="H81" s="354"/>
      <c r="I81" s="589">
        <f>IF(C81&gt;0,VLOOKUP(C81,'[1]Lizenzen'!$D$8:$K$2836,6,FALSE),"")</f>
      </c>
      <c r="J81" s="353"/>
      <c r="K81" s="354"/>
      <c r="L81" s="158" t="s">
        <v>67</v>
      </c>
      <c r="M81" s="158"/>
      <c r="N81" s="159" t="s">
        <v>128</v>
      </c>
      <c r="O81" s="611">
        <f>IF(C81&gt;0,CONCATENATE(I81,L81,G81,N81,I82,L81,G82),"")</f>
      </c>
      <c r="P81" s="609"/>
      <c r="Q81" s="609"/>
      <c r="R81" s="609"/>
      <c r="S81" s="609"/>
      <c r="T81" s="609"/>
      <c r="U81" s="609"/>
      <c r="V81" s="610"/>
      <c r="W81" s="616">
        <f>IF(ISTEXT(#REF!),#REF!,"")</f>
      </c>
      <c r="X81" s="617"/>
      <c r="Y81" s="617"/>
      <c r="Z81" s="617"/>
      <c r="AA81" s="617"/>
      <c r="AB81" s="618"/>
      <c r="AC81" s="597">
        <f>IF(ISTEXT(#REF!),CONCATENATE(W81,N81,W82),"")</f>
      </c>
      <c r="AD81" s="598"/>
      <c r="AE81" s="598"/>
      <c r="AF81" s="598"/>
      <c r="AG81" s="598"/>
      <c r="AH81" s="598"/>
      <c r="AI81" s="598"/>
      <c r="AJ81" s="599"/>
    </row>
    <row r="82" spans="1:36" ht="12.75" customHeight="1" thickBot="1">
      <c r="A82" s="155"/>
      <c r="B82" s="577"/>
      <c r="C82" s="555">
        <f>IF($H$63=1,'Lizenz Nr.- Eingabe'!AP30,#REF!)</f>
        <v>0</v>
      </c>
      <c r="D82" s="342"/>
      <c r="E82" s="564">
        <f>IF(C82&gt;0,VLOOKUP(C82,'[1]Lizenzen'!$D$8:$K$2836,2,FALSE),"")</f>
      </c>
      <c r="F82" s="565"/>
      <c r="G82" s="590">
        <f>IF(C82&gt;0,VLOOKUP(C82,'[1]Lizenzen'!D8:K2851,5,FALSE),"")</f>
      </c>
      <c r="H82" s="591"/>
      <c r="I82" s="590">
        <f>IF(C82&gt;0,VLOOKUP(C82,'[1]Lizenzen'!$D$8:$K$2836,6,FALSE),"")</f>
      </c>
      <c r="J82" s="603"/>
      <c r="K82" s="591"/>
      <c r="L82" s="160" t="s">
        <v>67</v>
      </c>
      <c r="M82" s="160"/>
      <c r="N82" s="161" t="s">
        <v>128</v>
      </c>
      <c r="O82" s="612"/>
      <c r="P82" s="613"/>
      <c r="Q82" s="613"/>
      <c r="R82" s="613"/>
      <c r="S82" s="613"/>
      <c r="T82" s="613"/>
      <c r="U82" s="613"/>
      <c r="V82" s="614"/>
      <c r="W82" s="604">
        <f>IF(ISTEXT(#REF!),#REF!,"")</f>
      </c>
      <c r="X82" s="605"/>
      <c r="Y82" s="605"/>
      <c r="Z82" s="605"/>
      <c r="AA82" s="605"/>
      <c r="AB82" s="606"/>
      <c r="AC82" s="600"/>
      <c r="AD82" s="601"/>
      <c r="AE82" s="601"/>
      <c r="AF82" s="601"/>
      <c r="AG82" s="601"/>
      <c r="AH82" s="601"/>
      <c r="AI82" s="601"/>
      <c r="AJ82" s="602"/>
    </row>
    <row r="83" ht="12.75" customHeight="1"/>
    <row r="84" ht="12.75" customHeight="1"/>
    <row r="85" ht="12.75" customHeight="1"/>
  </sheetData>
  <sheetProtection/>
  <mergeCells count="205">
    <mergeCell ref="D39:J39"/>
    <mergeCell ref="Y40:Z40"/>
    <mergeCell ref="V36:W36"/>
    <mergeCell ref="V39:W39"/>
    <mergeCell ref="Y39:Z39"/>
    <mergeCell ref="L36:S36"/>
    <mergeCell ref="L37:S37"/>
    <mergeCell ref="L38:S38"/>
    <mergeCell ref="L40:S40"/>
    <mergeCell ref="V40:W40"/>
    <mergeCell ref="Q8:AA8"/>
    <mergeCell ref="C3:AA3"/>
    <mergeCell ref="C4:AA4"/>
    <mergeCell ref="C5:AA5"/>
    <mergeCell ref="C7:AA7"/>
    <mergeCell ref="D35:J35"/>
    <mergeCell ref="L35:S35"/>
    <mergeCell ref="V35:W35"/>
    <mergeCell ref="Y35:Z35"/>
    <mergeCell ref="L34:S34"/>
    <mergeCell ref="I81:K81"/>
    <mergeCell ref="O81:V82"/>
    <mergeCell ref="W81:AB81"/>
    <mergeCell ref="I79:K79"/>
    <mergeCell ref="O79:V80"/>
    <mergeCell ref="W80:AB80"/>
    <mergeCell ref="W79:AB79"/>
    <mergeCell ref="B77:B78"/>
    <mergeCell ref="C77:D77"/>
    <mergeCell ref="E77:F77"/>
    <mergeCell ref="G77:H77"/>
    <mergeCell ref="C78:D78"/>
    <mergeCell ref="E78:F78"/>
    <mergeCell ref="G78:H78"/>
    <mergeCell ref="G80:H80"/>
    <mergeCell ref="G79:H79"/>
    <mergeCell ref="AC79:AJ80"/>
    <mergeCell ref="I80:K80"/>
    <mergeCell ref="B79:B80"/>
    <mergeCell ref="C79:D79"/>
    <mergeCell ref="C80:D80"/>
    <mergeCell ref="E79:F79"/>
    <mergeCell ref="E80:F80"/>
    <mergeCell ref="W77:AB77"/>
    <mergeCell ref="AC77:AJ78"/>
    <mergeCell ref="I78:K78"/>
    <mergeCell ref="W78:AB78"/>
    <mergeCell ref="I77:K77"/>
    <mergeCell ref="O77:V78"/>
    <mergeCell ref="AC81:AJ82"/>
    <mergeCell ref="I82:K82"/>
    <mergeCell ref="W82:AB82"/>
    <mergeCell ref="B81:B82"/>
    <mergeCell ref="C81:D81"/>
    <mergeCell ref="E81:F81"/>
    <mergeCell ref="G81:H81"/>
    <mergeCell ref="C82:D82"/>
    <mergeCell ref="E82:F82"/>
    <mergeCell ref="G82:H82"/>
    <mergeCell ref="I75:K75"/>
    <mergeCell ref="O75:V76"/>
    <mergeCell ref="W75:AB75"/>
    <mergeCell ref="AC75:AJ76"/>
    <mergeCell ref="I76:K76"/>
    <mergeCell ref="W76:AB76"/>
    <mergeCell ref="B75:B76"/>
    <mergeCell ref="C75:D75"/>
    <mergeCell ref="E75:F75"/>
    <mergeCell ref="G75:H75"/>
    <mergeCell ref="C76:D76"/>
    <mergeCell ref="E76:F76"/>
    <mergeCell ref="G76:H76"/>
    <mergeCell ref="B73:B74"/>
    <mergeCell ref="C73:D73"/>
    <mergeCell ref="E73:F73"/>
    <mergeCell ref="G73:H73"/>
    <mergeCell ref="C74:D74"/>
    <mergeCell ref="E74:F74"/>
    <mergeCell ref="G74:H74"/>
    <mergeCell ref="W73:AB73"/>
    <mergeCell ref="AC73:AJ74"/>
    <mergeCell ref="I74:K74"/>
    <mergeCell ref="W74:AB74"/>
    <mergeCell ref="I73:K73"/>
    <mergeCell ref="O73:V74"/>
    <mergeCell ref="B71:B72"/>
    <mergeCell ref="C71:D71"/>
    <mergeCell ref="E71:F71"/>
    <mergeCell ref="G71:H71"/>
    <mergeCell ref="C72:D72"/>
    <mergeCell ref="E72:F72"/>
    <mergeCell ref="G72:H72"/>
    <mergeCell ref="W68:AB68"/>
    <mergeCell ref="AC66:AJ66"/>
    <mergeCell ref="I67:K67"/>
    <mergeCell ref="I71:K71"/>
    <mergeCell ref="O71:V72"/>
    <mergeCell ref="W71:AB71"/>
    <mergeCell ref="O69:V70"/>
    <mergeCell ref="W69:AB69"/>
    <mergeCell ref="I70:K70"/>
    <mergeCell ref="W70:AB70"/>
    <mergeCell ref="AC71:AJ72"/>
    <mergeCell ref="I72:K72"/>
    <mergeCell ref="W72:AB72"/>
    <mergeCell ref="W66:AB66"/>
    <mergeCell ref="AC69:AJ70"/>
    <mergeCell ref="W67:AB67"/>
    <mergeCell ref="AC67:AJ68"/>
    <mergeCell ref="O67:V68"/>
    <mergeCell ref="O66:V66"/>
    <mergeCell ref="I68:K68"/>
    <mergeCell ref="G68:H68"/>
    <mergeCell ref="E66:F66"/>
    <mergeCell ref="G66:H66"/>
    <mergeCell ref="I66:K66"/>
    <mergeCell ref="G70:H70"/>
    <mergeCell ref="I69:K69"/>
    <mergeCell ref="E69:F69"/>
    <mergeCell ref="G69:H69"/>
    <mergeCell ref="C46:AA46"/>
    <mergeCell ref="W48:AA48"/>
    <mergeCell ref="B63:G64"/>
    <mergeCell ref="H63:H64"/>
    <mergeCell ref="B67:B68"/>
    <mergeCell ref="C67:D67"/>
    <mergeCell ref="E67:F67"/>
    <mergeCell ref="G67:H67"/>
    <mergeCell ref="C68:D68"/>
    <mergeCell ref="E68:F68"/>
    <mergeCell ref="D40:J40"/>
    <mergeCell ref="Y38:Z38"/>
    <mergeCell ref="C66:D66"/>
    <mergeCell ref="E70:F70"/>
    <mergeCell ref="B65:F65"/>
    <mergeCell ref="G65:V65"/>
    <mergeCell ref="W65:AJ65"/>
    <mergeCell ref="C44:AA44"/>
    <mergeCell ref="B69:B70"/>
    <mergeCell ref="C69:D69"/>
    <mergeCell ref="C70:D70"/>
    <mergeCell ref="D34:J34"/>
    <mergeCell ref="D38:J38"/>
    <mergeCell ref="I63:AJ64"/>
    <mergeCell ref="V38:W38"/>
    <mergeCell ref="L39:S39"/>
    <mergeCell ref="V34:W34"/>
    <mergeCell ref="Y34:Z34"/>
    <mergeCell ref="Y36:Z36"/>
    <mergeCell ref="V37:W37"/>
    <mergeCell ref="Y37:Z37"/>
    <mergeCell ref="D36:J36"/>
    <mergeCell ref="D37:J37"/>
    <mergeCell ref="D30:J30"/>
    <mergeCell ref="L30:S30"/>
    <mergeCell ref="V30:W30"/>
    <mergeCell ref="Y30:Z30"/>
    <mergeCell ref="D31:J31"/>
    <mergeCell ref="L31:S31"/>
    <mergeCell ref="V31:W31"/>
    <mergeCell ref="Y31:Z31"/>
    <mergeCell ref="D33:J33"/>
    <mergeCell ref="L33:S33"/>
    <mergeCell ref="V33:W33"/>
    <mergeCell ref="Y33:Z33"/>
    <mergeCell ref="D32:J32"/>
    <mergeCell ref="L32:S32"/>
    <mergeCell ref="V32:W32"/>
    <mergeCell ref="Y32:Z32"/>
    <mergeCell ref="D27:J27"/>
    <mergeCell ref="L27:S27"/>
    <mergeCell ref="V27:W27"/>
    <mergeCell ref="Y27:Z27"/>
    <mergeCell ref="D26:J26"/>
    <mergeCell ref="L26:S26"/>
    <mergeCell ref="V26:W26"/>
    <mergeCell ref="Y26:Z26"/>
    <mergeCell ref="D29:J29"/>
    <mergeCell ref="L29:S29"/>
    <mergeCell ref="V29:W29"/>
    <mergeCell ref="Y29:Z29"/>
    <mergeCell ref="D28:J28"/>
    <mergeCell ref="L28:S28"/>
    <mergeCell ref="V28:W28"/>
    <mergeCell ref="Y28:Z28"/>
    <mergeCell ref="C24:F24"/>
    <mergeCell ref="D21:J21"/>
    <mergeCell ref="P21:AA21"/>
    <mergeCell ref="D19:J19"/>
    <mergeCell ref="P19:AA19"/>
    <mergeCell ref="D20:J20"/>
    <mergeCell ref="P20:AA20"/>
    <mergeCell ref="C14:N14"/>
    <mergeCell ref="D18:J18"/>
    <mergeCell ref="P18:AA18"/>
    <mergeCell ref="D16:J16"/>
    <mergeCell ref="P16:AA16"/>
    <mergeCell ref="D17:J17"/>
    <mergeCell ref="P17:AA17"/>
    <mergeCell ref="Q9:AA9"/>
    <mergeCell ref="Q10:AA10"/>
    <mergeCell ref="Q11:AA11"/>
    <mergeCell ref="X14:Z14"/>
    <mergeCell ref="U14:W14"/>
    <mergeCell ref="Q12:AA12"/>
  </mergeCells>
  <conditionalFormatting sqref="D16:J16">
    <cfRule type="expression" priority="1" dxfId="0" stopIfTrue="1">
      <formula>$D$16=0</formula>
    </cfRule>
  </conditionalFormatting>
  <conditionalFormatting sqref="D17:J17">
    <cfRule type="expression" priority="2" dxfId="0" stopIfTrue="1">
      <formula>$D$17=0</formula>
    </cfRule>
  </conditionalFormatting>
  <conditionalFormatting sqref="D18:J18">
    <cfRule type="expression" priority="3" dxfId="0" stopIfTrue="1">
      <formula>$D$18=0</formula>
    </cfRule>
  </conditionalFormatting>
  <conditionalFormatting sqref="D19:J19">
    <cfRule type="expression" priority="4" dxfId="0" stopIfTrue="1">
      <formula>$D$19=0</formula>
    </cfRule>
  </conditionalFormatting>
  <conditionalFormatting sqref="X14:Z14">
    <cfRule type="expression" priority="5" dxfId="0" stopIfTrue="1">
      <formula>$X$14=0</formula>
    </cfRule>
  </conditionalFormatting>
  <conditionalFormatting sqref="P16:AA16">
    <cfRule type="expression" priority="6" dxfId="0" stopIfTrue="1">
      <formula>$P$16=0</formula>
    </cfRule>
  </conditionalFormatting>
  <conditionalFormatting sqref="P17:AA17">
    <cfRule type="expression" priority="7" dxfId="0" stopIfTrue="1">
      <formula>$P$17=0</formula>
    </cfRule>
  </conditionalFormatting>
  <conditionalFormatting sqref="P18:AA18">
    <cfRule type="expression" priority="8" dxfId="0" stopIfTrue="1">
      <formula>$P$18=0</formula>
    </cfRule>
  </conditionalFormatting>
  <conditionalFormatting sqref="P19:AA19">
    <cfRule type="expression" priority="9" dxfId="0" stopIfTrue="1">
      <formula>$P$19=0</formula>
    </cfRule>
  </conditionalFormatting>
  <conditionalFormatting sqref="P20:AA20">
    <cfRule type="expression" priority="10" dxfId="0" stopIfTrue="1">
      <formula>$P$20=0</formula>
    </cfRule>
  </conditionalFormatting>
  <conditionalFormatting sqref="D21:J21">
    <cfRule type="expression" priority="11" dxfId="0" stopIfTrue="1">
      <formula>$D$21=0</formula>
    </cfRule>
  </conditionalFormatting>
  <conditionalFormatting sqref="D20:J20">
    <cfRule type="expression" priority="12" dxfId="0" stopIfTrue="1">
      <formula>$D$20=0</formula>
    </cfRule>
  </conditionalFormatting>
  <conditionalFormatting sqref="P21:AA21">
    <cfRule type="expression" priority="13" dxfId="0" stopIfTrue="1">
      <formula>$P$21=0</formula>
    </cfRule>
  </conditionalFormatting>
  <printOptions horizontalCentered="1"/>
  <pageMargins left="0.984251968503937" right="0.5905511811023623" top="0.5905511811023623" bottom="0.7874015748031497" header="0" footer="0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6" sqref="N6"/>
    </sheetView>
  </sheetViews>
  <sheetFormatPr defaultColWidth="11.421875" defaultRowHeight="12.75"/>
  <cols>
    <col min="3" max="3" width="22.00390625" style="0" customWidth="1"/>
    <col min="4" max="4" width="6.7109375" style="227" customWidth="1"/>
    <col min="5" max="5" width="22.421875" style="0" customWidth="1"/>
    <col min="6" max="6" width="11.421875" style="0" customWidth="1"/>
    <col min="8" max="8" width="11.421875" style="132" customWidth="1"/>
  </cols>
  <sheetData>
    <row r="1" spans="1:9" ht="30" customHeight="1">
      <c r="A1" s="626" t="s">
        <v>205</v>
      </c>
      <c r="B1" s="626"/>
      <c r="C1" s="626"/>
      <c r="D1" s="626"/>
      <c r="E1" s="626"/>
      <c r="F1" s="626"/>
      <c r="G1" s="626"/>
      <c r="H1" s="626"/>
      <c r="I1" s="626"/>
    </row>
    <row r="2" spans="1:9" ht="30" customHeight="1">
      <c r="A2" s="627" t="s">
        <v>206</v>
      </c>
      <c r="B2" s="627"/>
      <c r="C2" s="627"/>
      <c r="D2" s="627"/>
      <c r="E2" s="627"/>
      <c r="F2" s="627"/>
      <c r="G2" s="627"/>
      <c r="H2" s="627"/>
      <c r="I2" s="627"/>
    </row>
    <row r="3" spans="1:9" ht="30" customHeight="1">
      <c r="A3" s="227"/>
      <c r="B3" s="227"/>
      <c r="C3" s="227"/>
      <c r="E3" s="227"/>
      <c r="F3" s="227"/>
      <c r="G3" s="227"/>
      <c r="H3" s="227"/>
      <c r="I3" s="227"/>
    </row>
    <row r="4" spans="1:9" s="193" customFormat="1" ht="39.75" customHeight="1">
      <c r="A4" s="253" t="s">
        <v>15</v>
      </c>
      <c r="B4" s="264" t="s">
        <v>171</v>
      </c>
      <c r="C4" s="264" t="s">
        <v>201</v>
      </c>
      <c r="D4" s="265" t="s">
        <v>85</v>
      </c>
      <c r="E4" s="264" t="s">
        <v>203</v>
      </c>
      <c r="F4" s="264"/>
      <c r="G4" s="264"/>
      <c r="H4" s="136" t="s">
        <v>14</v>
      </c>
      <c r="I4" s="254"/>
    </row>
    <row r="5" spans="1:9" s="193" customFormat="1" ht="39.75" customHeight="1">
      <c r="A5" s="253" t="s">
        <v>16</v>
      </c>
      <c r="B5" s="264" t="s">
        <v>171</v>
      </c>
      <c r="C5" s="133" t="s">
        <v>169</v>
      </c>
      <c r="D5" s="136" t="s">
        <v>85</v>
      </c>
      <c r="E5" s="133" t="s">
        <v>202</v>
      </c>
      <c r="F5" s="133"/>
      <c r="G5" s="133"/>
      <c r="H5" s="136" t="s">
        <v>14</v>
      </c>
      <c r="I5" s="254"/>
    </row>
    <row r="6" spans="1:9" s="193" customFormat="1" ht="39.75" customHeight="1">
      <c r="A6" s="266" t="s">
        <v>17</v>
      </c>
      <c r="B6" s="267" t="s">
        <v>207</v>
      </c>
      <c r="C6" s="135" t="s">
        <v>182</v>
      </c>
      <c r="D6" s="134"/>
      <c r="E6" s="135" t="s">
        <v>183</v>
      </c>
      <c r="F6" s="133"/>
      <c r="G6" s="133"/>
      <c r="H6" s="136" t="s">
        <v>14</v>
      </c>
      <c r="I6" s="254"/>
    </row>
    <row r="7" spans="1:9" s="193" customFormat="1" ht="39.75" customHeight="1">
      <c r="A7" s="253" t="s">
        <v>18</v>
      </c>
      <c r="B7" s="264" t="s">
        <v>171</v>
      </c>
      <c r="C7" s="193" t="s">
        <v>182</v>
      </c>
      <c r="D7" s="136" t="s">
        <v>85</v>
      </c>
      <c r="E7" s="193" t="s">
        <v>203</v>
      </c>
      <c r="G7" s="133"/>
      <c r="H7" s="136" t="s">
        <v>14</v>
      </c>
      <c r="I7" s="254"/>
    </row>
    <row r="8" spans="1:12" s="193" customFormat="1" ht="39.75" customHeight="1">
      <c r="A8" s="253" t="s">
        <v>19</v>
      </c>
      <c r="B8" s="264" t="s">
        <v>171</v>
      </c>
      <c r="C8" s="133" t="s">
        <v>201</v>
      </c>
      <c r="D8" s="136" t="s">
        <v>85</v>
      </c>
      <c r="E8" s="133" t="s">
        <v>202</v>
      </c>
      <c r="F8" s="133"/>
      <c r="G8" s="133"/>
      <c r="H8" s="136" t="s">
        <v>14</v>
      </c>
      <c r="I8" s="254"/>
      <c r="L8" s="228"/>
    </row>
    <row r="9" spans="1:9" s="193" customFormat="1" ht="39.75" customHeight="1">
      <c r="A9" s="253" t="s">
        <v>20</v>
      </c>
      <c r="B9" s="267" t="s">
        <v>207</v>
      </c>
      <c r="C9" s="135" t="s">
        <v>174</v>
      </c>
      <c r="D9" s="134" t="s">
        <v>85</v>
      </c>
      <c r="E9" s="135" t="s">
        <v>183</v>
      </c>
      <c r="F9" s="133"/>
      <c r="G9" s="133"/>
      <c r="H9" s="136" t="s">
        <v>14</v>
      </c>
      <c r="I9" s="254"/>
    </row>
    <row r="10" spans="1:9" s="193" customFormat="1" ht="39.75" customHeight="1">
      <c r="A10" s="253" t="s">
        <v>21</v>
      </c>
      <c r="B10" s="264" t="s">
        <v>171</v>
      </c>
      <c r="C10" s="133" t="s">
        <v>169</v>
      </c>
      <c r="D10" s="136" t="s">
        <v>85</v>
      </c>
      <c r="E10" s="133" t="s">
        <v>182</v>
      </c>
      <c r="F10" s="133"/>
      <c r="G10" s="133"/>
      <c r="H10" s="136" t="s">
        <v>14</v>
      </c>
      <c r="I10" s="254"/>
    </row>
    <row r="11" spans="1:9" s="193" customFormat="1" ht="39.75" customHeight="1">
      <c r="A11" s="253" t="s">
        <v>22</v>
      </c>
      <c r="B11" s="264" t="s">
        <v>171</v>
      </c>
      <c r="C11" s="133" t="s">
        <v>202</v>
      </c>
      <c r="D11" s="136" t="s">
        <v>85</v>
      </c>
      <c r="E11" s="133" t="s">
        <v>203</v>
      </c>
      <c r="F11" s="133"/>
      <c r="G11" s="133"/>
      <c r="H11" s="136" t="s">
        <v>14</v>
      </c>
      <c r="I11" s="254"/>
    </row>
    <row r="12" spans="1:9" s="193" customFormat="1" ht="39.75" customHeight="1">
      <c r="A12" s="253" t="s">
        <v>23</v>
      </c>
      <c r="B12" s="135" t="s">
        <v>207</v>
      </c>
      <c r="C12" s="135" t="s">
        <v>182</v>
      </c>
      <c r="D12" s="134" t="s">
        <v>85</v>
      </c>
      <c r="E12" s="135" t="s">
        <v>174</v>
      </c>
      <c r="F12" s="133"/>
      <c r="G12" s="133"/>
      <c r="H12" s="136" t="s">
        <v>14</v>
      </c>
      <c r="I12" s="254"/>
    </row>
    <row r="13" spans="1:9" s="193" customFormat="1" ht="39.75" customHeight="1">
      <c r="A13" s="253" t="s">
        <v>24</v>
      </c>
      <c r="B13" s="133" t="s">
        <v>171</v>
      </c>
      <c r="C13" s="133" t="s">
        <v>201</v>
      </c>
      <c r="D13" s="136" t="s">
        <v>85</v>
      </c>
      <c r="E13" s="133" t="s">
        <v>182</v>
      </c>
      <c r="F13" s="133"/>
      <c r="G13" s="133"/>
      <c r="H13" s="136" t="s">
        <v>14</v>
      </c>
      <c r="I13" s="254"/>
    </row>
    <row r="14" spans="1:9" s="193" customFormat="1" ht="39.75" customHeight="1">
      <c r="A14" s="253" t="s">
        <v>25</v>
      </c>
      <c r="B14" s="133" t="s">
        <v>171</v>
      </c>
      <c r="C14" s="133" t="s">
        <v>169</v>
      </c>
      <c r="D14" s="136" t="s">
        <v>85</v>
      </c>
      <c r="E14" s="133" t="s">
        <v>203</v>
      </c>
      <c r="F14" s="133"/>
      <c r="G14" s="133"/>
      <c r="H14" s="136" t="s">
        <v>14</v>
      </c>
      <c r="I14" s="254"/>
    </row>
    <row r="15" spans="1:9" s="193" customFormat="1" ht="39.75" customHeight="1">
      <c r="A15" s="266" t="s">
        <v>26</v>
      </c>
      <c r="B15" s="135" t="s">
        <v>207</v>
      </c>
      <c r="C15" s="135" t="s">
        <v>182</v>
      </c>
      <c r="D15" s="134" t="s">
        <v>85</v>
      </c>
      <c r="E15" s="135" t="s">
        <v>183</v>
      </c>
      <c r="F15" s="133"/>
      <c r="G15" s="133"/>
      <c r="H15" s="136" t="s">
        <v>14</v>
      </c>
      <c r="I15" s="254"/>
    </row>
    <row r="16" spans="1:9" s="193" customFormat="1" ht="39.75" customHeight="1">
      <c r="A16" s="253" t="s">
        <v>27</v>
      </c>
      <c r="B16" s="133" t="s">
        <v>171</v>
      </c>
      <c r="C16" s="193" t="s">
        <v>202</v>
      </c>
      <c r="D16" s="136" t="s">
        <v>85</v>
      </c>
      <c r="E16" s="193" t="s">
        <v>182</v>
      </c>
      <c r="G16" s="133"/>
      <c r="H16" s="136" t="s">
        <v>14</v>
      </c>
      <c r="I16" s="254"/>
    </row>
    <row r="17" spans="1:9" s="193" customFormat="1" ht="39.75" customHeight="1">
      <c r="A17" s="253" t="s">
        <v>28</v>
      </c>
      <c r="B17" s="135" t="s">
        <v>207</v>
      </c>
      <c r="C17" s="135" t="s">
        <v>174</v>
      </c>
      <c r="D17" s="134" t="s">
        <v>85</v>
      </c>
      <c r="E17" s="135" t="s">
        <v>183</v>
      </c>
      <c r="F17" s="133"/>
      <c r="G17" s="133"/>
      <c r="H17" s="136" t="s">
        <v>14</v>
      </c>
      <c r="I17" s="254"/>
    </row>
    <row r="18" spans="1:9" s="193" customFormat="1" ht="39.75" customHeight="1">
      <c r="A18" s="253" t="s">
        <v>29</v>
      </c>
      <c r="B18" s="133" t="s">
        <v>171</v>
      </c>
      <c r="C18" s="133" t="s">
        <v>201</v>
      </c>
      <c r="D18" s="136" t="s">
        <v>85</v>
      </c>
      <c r="E18" s="133" t="s">
        <v>169</v>
      </c>
      <c r="F18" s="133"/>
      <c r="G18" s="133"/>
      <c r="H18" s="136" t="s">
        <v>14</v>
      </c>
      <c r="I18" s="254"/>
    </row>
    <row r="19" spans="1:9" s="193" customFormat="1" ht="39.75" customHeight="1">
      <c r="A19" s="266" t="s">
        <v>30</v>
      </c>
      <c r="B19" s="135" t="s">
        <v>207</v>
      </c>
      <c r="C19" s="135" t="s">
        <v>182</v>
      </c>
      <c r="D19" s="134" t="s">
        <v>85</v>
      </c>
      <c r="E19" s="135" t="s">
        <v>174</v>
      </c>
      <c r="F19" s="133"/>
      <c r="G19" s="133"/>
      <c r="H19" s="136" t="s">
        <v>14</v>
      </c>
      <c r="I19" s="254"/>
    </row>
    <row r="20" spans="1:9" s="193" customFormat="1" ht="39.75" customHeight="1">
      <c r="A20" s="253" t="s">
        <v>31</v>
      </c>
      <c r="B20" s="133"/>
      <c r="C20" s="133"/>
      <c r="D20" s="136"/>
      <c r="E20" s="133"/>
      <c r="F20" s="133"/>
      <c r="G20" s="133"/>
      <c r="H20" s="136" t="s">
        <v>14</v>
      </c>
      <c r="I20" s="254"/>
    </row>
    <row r="21" spans="1:9" s="193" customFormat="1" ht="39.75" customHeight="1">
      <c r="A21" s="253" t="s">
        <v>32</v>
      </c>
      <c r="B21" s="133"/>
      <c r="C21" s="133"/>
      <c r="D21" s="136"/>
      <c r="E21" s="133"/>
      <c r="F21" s="133"/>
      <c r="G21" s="133"/>
      <c r="H21" s="136" t="s">
        <v>14</v>
      </c>
      <c r="I21" s="254"/>
    </row>
    <row r="22" spans="1:9" s="193" customFormat="1" ht="39.75" customHeight="1">
      <c r="A22" s="266" t="s">
        <v>33</v>
      </c>
      <c r="B22" s="135"/>
      <c r="C22" s="135"/>
      <c r="D22" s="134"/>
      <c r="E22" s="135"/>
      <c r="F22" s="133"/>
      <c r="G22" s="133"/>
      <c r="H22" s="136" t="s">
        <v>14</v>
      </c>
      <c r="I22" s="254"/>
    </row>
    <row r="23" spans="1:9" s="193" customFormat="1" ht="39.75" customHeight="1">
      <c r="A23" s="253" t="s">
        <v>34</v>
      </c>
      <c r="B23" s="133"/>
      <c r="C23" s="133"/>
      <c r="D23" s="136"/>
      <c r="E23" s="133"/>
      <c r="F23" s="133"/>
      <c r="G23" s="133"/>
      <c r="H23" s="136" t="s">
        <v>14</v>
      </c>
      <c r="I23" s="254"/>
    </row>
    <row r="24" spans="1:9" ht="39.75" customHeight="1">
      <c r="A24" s="266" t="s">
        <v>35</v>
      </c>
      <c r="B24" s="135"/>
      <c r="C24" s="135"/>
      <c r="D24" s="134"/>
      <c r="E24" s="135"/>
      <c r="F24" s="133"/>
      <c r="G24" s="133"/>
      <c r="H24" s="136" t="s">
        <v>14</v>
      </c>
      <c r="I24" s="254"/>
    </row>
    <row r="25" spans="1:9" ht="39.75" customHeight="1">
      <c r="A25" s="253" t="s">
        <v>36</v>
      </c>
      <c r="B25" s="133"/>
      <c r="C25" s="133"/>
      <c r="D25" s="136" t="s">
        <v>85</v>
      </c>
      <c r="E25" s="133"/>
      <c r="F25" s="133"/>
      <c r="G25" s="133"/>
      <c r="H25" s="136" t="s">
        <v>14</v>
      </c>
      <c r="I25" s="254"/>
    </row>
    <row r="26" spans="1:9" ht="39.75" customHeight="1">
      <c r="A26" s="253" t="s">
        <v>37</v>
      </c>
      <c r="B26" s="133"/>
      <c r="C26" s="133"/>
      <c r="D26" s="136" t="s">
        <v>85</v>
      </c>
      <c r="E26" s="133"/>
      <c r="F26" s="133"/>
      <c r="G26" s="133"/>
      <c r="H26" s="136" t="s">
        <v>14</v>
      </c>
      <c r="I26" s="254"/>
    </row>
    <row r="27" spans="1:9" ht="39.75" customHeight="1">
      <c r="A27" s="253" t="s">
        <v>38</v>
      </c>
      <c r="B27" s="133"/>
      <c r="C27" s="133"/>
      <c r="D27" s="136" t="s">
        <v>85</v>
      </c>
      <c r="E27" s="133"/>
      <c r="F27" s="133"/>
      <c r="G27" s="133"/>
      <c r="H27" s="136" t="s">
        <v>14</v>
      </c>
      <c r="I27" s="254"/>
    </row>
    <row r="28" spans="1:9" ht="39.75" customHeight="1">
      <c r="A28" s="253" t="s">
        <v>39</v>
      </c>
      <c r="B28" s="133"/>
      <c r="C28" s="133"/>
      <c r="D28" s="136" t="s">
        <v>85</v>
      </c>
      <c r="E28" s="133"/>
      <c r="F28" s="133"/>
      <c r="G28" s="133"/>
      <c r="H28" s="136" t="s">
        <v>14</v>
      </c>
      <c r="I28" s="254"/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S24" sqref="S24"/>
    </sheetView>
  </sheetViews>
  <sheetFormatPr defaultColWidth="11.421875" defaultRowHeight="12.75"/>
  <cols>
    <col min="1" max="1" width="11.421875" style="191" customWidth="1"/>
    <col min="2" max="2" width="4.7109375" style="191" customWidth="1"/>
    <col min="3" max="3" width="1.8515625" style="192" customWidth="1"/>
    <col min="4" max="4" width="4.7109375" style="191" customWidth="1"/>
    <col min="5" max="5" width="6.421875" style="191" customWidth="1"/>
    <col min="6" max="6" width="4.7109375" style="191" customWidth="1"/>
    <col min="7" max="7" width="1.8515625" style="192" customWidth="1"/>
    <col min="8" max="8" width="4.7109375" style="191" customWidth="1"/>
    <col min="9" max="9" width="6.421875" style="191" customWidth="1"/>
    <col min="10" max="10" width="4.7109375" style="191" customWidth="1"/>
    <col min="11" max="11" width="1.8515625" style="192" customWidth="1"/>
    <col min="12" max="12" width="4.7109375" style="191" customWidth="1"/>
    <col min="13" max="13" width="6.421875" style="191" customWidth="1"/>
    <col min="14" max="14" width="4.7109375" style="191" customWidth="1"/>
    <col min="15" max="15" width="1.8515625" style="192" customWidth="1"/>
    <col min="16" max="16" width="4.7109375" style="191" customWidth="1"/>
    <col min="17" max="17" width="6.421875" style="191" customWidth="1"/>
    <col min="18" max="18" width="4.7109375" style="191" customWidth="1"/>
    <col min="19" max="19" width="1.8515625" style="192" customWidth="1"/>
    <col min="20" max="20" width="4.7109375" style="191" customWidth="1"/>
    <col min="21" max="21" width="6.421875" style="191" customWidth="1"/>
    <col min="22" max="22" width="4.7109375" style="191" customWidth="1"/>
    <col min="23" max="23" width="1.8515625" style="192" customWidth="1"/>
    <col min="24" max="24" width="4.7109375" style="191" customWidth="1"/>
    <col min="25" max="25" width="6.421875" style="191" customWidth="1"/>
    <col min="26" max="16384" width="11.421875" style="191" customWidth="1"/>
  </cols>
  <sheetData>
    <row r="1" spans="1:25" ht="12.75">
      <c r="A1" s="200" t="s">
        <v>164</v>
      </c>
      <c r="B1" s="628" t="s">
        <v>169</v>
      </c>
      <c r="C1" s="633"/>
      <c r="D1" s="633"/>
      <c r="E1" s="634"/>
      <c r="F1" s="628" t="s">
        <v>201</v>
      </c>
      <c r="G1" s="633"/>
      <c r="H1" s="633"/>
      <c r="I1" s="634"/>
      <c r="J1" s="628" t="s">
        <v>202</v>
      </c>
      <c r="K1" s="629"/>
      <c r="L1" s="629"/>
      <c r="M1" s="630"/>
      <c r="N1" s="628" t="s">
        <v>203</v>
      </c>
      <c r="O1" s="629"/>
      <c r="P1" s="629"/>
      <c r="Q1" s="630"/>
      <c r="R1" s="628" t="s">
        <v>204</v>
      </c>
      <c r="S1" s="629"/>
      <c r="T1" s="629"/>
      <c r="U1" s="630"/>
      <c r="V1" s="628" t="s">
        <v>182</v>
      </c>
      <c r="W1" s="629"/>
      <c r="X1" s="629"/>
      <c r="Y1" s="630"/>
    </row>
    <row r="2" spans="1:25" ht="13.5" thickBot="1">
      <c r="A2" s="201" t="s">
        <v>192</v>
      </c>
      <c r="B2" s="631" t="s">
        <v>9</v>
      </c>
      <c r="C2" s="632"/>
      <c r="D2" s="632"/>
      <c r="E2" s="202" t="s">
        <v>10</v>
      </c>
      <c r="F2" s="631" t="s">
        <v>9</v>
      </c>
      <c r="G2" s="632"/>
      <c r="H2" s="632"/>
      <c r="I2" s="202" t="s">
        <v>10</v>
      </c>
      <c r="J2" s="631" t="s">
        <v>9</v>
      </c>
      <c r="K2" s="632"/>
      <c r="L2" s="632"/>
      <c r="M2" s="202" t="s">
        <v>10</v>
      </c>
      <c r="N2" s="631" t="s">
        <v>9</v>
      </c>
      <c r="O2" s="632"/>
      <c r="P2" s="632"/>
      <c r="Q2" s="202" t="s">
        <v>10</v>
      </c>
      <c r="R2" s="631" t="s">
        <v>9</v>
      </c>
      <c r="S2" s="632"/>
      <c r="T2" s="632"/>
      <c r="U2" s="202" t="s">
        <v>10</v>
      </c>
      <c r="V2" s="631" t="s">
        <v>9</v>
      </c>
      <c r="W2" s="632"/>
      <c r="X2" s="632"/>
      <c r="Y2" s="202" t="s">
        <v>10</v>
      </c>
    </row>
    <row r="3" spans="1:25" ht="15">
      <c r="A3" s="203"/>
      <c r="B3" s="204">
        <v>5</v>
      </c>
      <c r="C3" s="205" t="s">
        <v>14</v>
      </c>
      <c r="D3" s="206">
        <v>0</v>
      </c>
      <c r="E3" s="207">
        <f>IF(B3="","",IF(B3&gt;D3,3,IF(B3=D3,1,0)))</f>
        <v>3</v>
      </c>
      <c r="F3" s="204">
        <v>2</v>
      </c>
      <c r="G3" s="205" t="s">
        <v>14</v>
      </c>
      <c r="H3" s="206">
        <v>0</v>
      </c>
      <c r="I3" s="207">
        <f>IF(F3="","",IF(F3&gt;H3,3,IF(F3=H3,1,0)))</f>
        <v>3</v>
      </c>
      <c r="J3" s="204">
        <v>0</v>
      </c>
      <c r="K3" s="205" t="s">
        <v>14</v>
      </c>
      <c r="L3" s="206">
        <v>5</v>
      </c>
      <c r="M3" s="208">
        <f>IF(J3="","",IF(J3&gt;L3,3,IF(J3=L3,1,0)))</f>
        <v>0</v>
      </c>
      <c r="N3" s="204">
        <v>0</v>
      </c>
      <c r="O3" s="205" t="s">
        <v>14</v>
      </c>
      <c r="P3" s="206">
        <v>2</v>
      </c>
      <c r="Q3" s="208">
        <f>IF(N3="","",IF(N3&gt;P3,3,IF(N3=P3,1,0)))</f>
        <v>0</v>
      </c>
      <c r="R3" s="204">
        <v>0</v>
      </c>
      <c r="S3" s="205" t="s">
        <v>14</v>
      </c>
      <c r="T3" s="206">
        <v>5</v>
      </c>
      <c r="U3" s="208">
        <f>IF(R3="","",IF(R3&gt;T3,3,IF(R3=T3,1,0)))</f>
        <v>0</v>
      </c>
      <c r="V3" s="204">
        <v>3</v>
      </c>
      <c r="W3" s="205" t="s">
        <v>14</v>
      </c>
      <c r="X3" s="206">
        <v>1</v>
      </c>
      <c r="Y3" s="208">
        <f>IF(V3="","",IF(V3&gt;X3,3,IF(V3=X3,1,0)))</f>
        <v>3</v>
      </c>
    </row>
    <row r="4" spans="1:25" ht="15">
      <c r="A4" s="203"/>
      <c r="B4" s="209">
        <v>9</v>
      </c>
      <c r="C4" s="210" t="s">
        <v>14</v>
      </c>
      <c r="D4" s="211">
        <v>0</v>
      </c>
      <c r="E4" s="212">
        <f>IF(B4="","",IF(B4&gt;D4,3,IF(B4=D4,1,0)))</f>
        <v>3</v>
      </c>
      <c r="F4" s="209">
        <v>5</v>
      </c>
      <c r="G4" s="210" t="s">
        <v>14</v>
      </c>
      <c r="H4" s="211">
        <v>0</v>
      </c>
      <c r="I4" s="212">
        <f>IF(F4="","",IF(F4&gt;H4,3,IF(F4=H4,1,0)))</f>
        <v>3</v>
      </c>
      <c r="J4" s="209">
        <v>0</v>
      </c>
      <c r="K4" s="210" t="s">
        <v>14</v>
      </c>
      <c r="L4" s="211">
        <v>5</v>
      </c>
      <c r="M4" s="213">
        <f>IF(J4="","",IF(J4&gt;L4,3,IF(J4=L4,1,0)))</f>
        <v>0</v>
      </c>
      <c r="N4" s="209">
        <v>1</v>
      </c>
      <c r="O4" s="210" t="s">
        <v>14</v>
      </c>
      <c r="P4" s="211">
        <v>3</v>
      </c>
      <c r="Q4" s="213">
        <f>IF(N4="","",IF(N4&gt;P4,3,IF(N4=P4,1,0)))</f>
        <v>0</v>
      </c>
      <c r="R4" s="209">
        <v>0</v>
      </c>
      <c r="S4" s="210" t="s">
        <v>14</v>
      </c>
      <c r="T4" s="211">
        <v>5</v>
      </c>
      <c r="U4" s="213">
        <f>IF(R4="","",IF(R4&gt;T4,3,IF(R4=T4,1,0)))</f>
        <v>0</v>
      </c>
      <c r="V4" s="209">
        <v>0</v>
      </c>
      <c r="W4" s="210" t="s">
        <v>14</v>
      </c>
      <c r="X4" s="211">
        <v>9</v>
      </c>
      <c r="Y4" s="213">
        <f>IF(V4="","",IF(V4&gt;X4,3,IF(V4=X4,1,0)))</f>
        <v>0</v>
      </c>
    </row>
    <row r="5" spans="1:25" ht="15">
      <c r="A5" s="203"/>
      <c r="B5" s="209">
        <v>11</v>
      </c>
      <c r="C5" s="210" t="s">
        <v>14</v>
      </c>
      <c r="D5" s="211">
        <v>0</v>
      </c>
      <c r="E5" s="212">
        <f>IF(B5="","",IF(B5&gt;D5,3,IF(B5=D5,1,0)))</f>
        <v>3</v>
      </c>
      <c r="F5" s="209">
        <v>3</v>
      </c>
      <c r="G5" s="210" t="s">
        <v>14</v>
      </c>
      <c r="H5" s="211">
        <v>0</v>
      </c>
      <c r="I5" s="212">
        <f>IF(F5="","",IF(F5&gt;H5,3,IF(F5=H5,1,0)))</f>
        <v>3</v>
      </c>
      <c r="J5" s="209">
        <v>0</v>
      </c>
      <c r="K5" s="210" t="s">
        <v>14</v>
      </c>
      <c r="L5" s="211">
        <v>5</v>
      </c>
      <c r="M5" s="213">
        <f>IF(J5="","",IF(J5&gt;L5,3,IF(J5=L5,1,0)))</f>
        <v>0</v>
      </c>
      <c r="N5" s="209">
        <v>5</v>
      </c>
      <c r="O5" s="210" t="s">
        <v>14</v>
      </c>
      <c r="P5" s="211">
        <v>0</v>
      </c>
      <c r="Q5" s="213">
        <f>IF(N5="","",IF(N5&gt;P5,3,IF(N5=P5,1,0)))</f>
        <v>3</v>
      </c>
      <c r="R5" s="209">
        <v>0</v>
      </c>
      <c r="S5" s="210" t="s">
        <v>14</v>
      </c>
      <c r="T5" s="211">
        <v>5</v>
      </c>
      <c r="U5" s="213">
        <f>IF(R5="","",IF(R5&gt;T5,3,IF(R5=T5,1,0)))</f>
        <v>0</v>
      </c>
      <c r="V5" s="209">
        <v>0</v>
      </c>
      <c r="W5" s="210" t="s">
        <v>14</v>
      </c>
      <c r="X5" s="211">
        <v>3</v>
      </c>
      <c r="Y5" s="213">
        <f>IF(V5="","",IF(V5&gt;X5,3,IF(V5=X5,1,0)))</f>
        <v>0</v>
      </c>
    </row>
    <row r="6" spans="1:25" ht="15">
      <c r="A6" s="203"/>
      <c r="B6" s="209">
        <v>10</v>
      </c>
      <c r="C6" s="210" t="s">
        <v>14</v>
      </c>
      <c r="D6" s="211">
        <v>0</v>
      </c>
      <c r="E6" s="212">
        <f>IF(B6="","",IF(B6&gt;D6,3,IF(B6=D6,1,0)))</f>
        <v>3</v>
      </c>
      <c r="F6" s="209">
        <v>0</v>
      </c>
      <c r="G6" s="210" t="s">
        <v>14</v>
      </c>
      <c r="H6" s="211">
        <v>10</v>
      </c>
      <c r="I6" s="212">
        <f>IF(F6="","",IF(F6&gt;H6,3,IF(F6=H6,1,0)))</f>
        <v>0</v>
      </c>
      <c r="J6" s="209">
        <v>0</v>
      </c>
      <c r="K6" s="210" t="s">
        <v>14</v>
      </c>
      <c r="L6" s="211">
        <v>5</v>
      </c>
      <c r="M6" s="213">
        <f>IF(J6="","",IF(J6&gt;L6,3,IF(J6=L6,1,0)))</f>
        <v>0</v>
      </c>
      <c r="N6" s="209">
        <v>0</v>
      </c>
      <c r="O6" s="210" t="s">
        <v>14</v>
      </c>
      <c r="P6" s="211">
        <v>11</v>
      </c>
      <c r="Q6" s="213">
        <f>IF(N6="","",IF(N6&gt;P6,3,IF(N6=P6,1,0)))</f>
        <v>0</v>
      </c>
      <c r="R6" s="209">
        <v>0</v>
      </c>
      <c r="S6" s="210" t="s">
        <v>14</v>
      </c>
      <c r="T6" s="211">
        <v>5</v>
      </c>
      <c r="U6" s="213">
        <f>IF(R6="","",IF(R6&gt;T6,3,IF(R6=T6,1,0)))</f>
        <v>0</v>
      </c>
      <c r="V6" s="209">
        <v>5</v>
      </c>
      <c r="W6" s="210" t="s">
        <v>14</v>
      </c>
      <c r="X6" s="211">
        <v>0</v>
      </c>
      <c r="Y6" s="213">
        <f>IF(V6="","",IF(V6&gt;X6,3,IF(V6=X6,1,0)))</f>
        <v>3</v>
      </c>
    </row>
    <row r="7" spans="1:25" ht="15.75" thickBot="1">
      <c r="A7" s="268" t="s">
        <v>208</v>
      </c>
      <c r="B7" s="269">
        <v>5</v>
      </c>
      <c r="C7" s="270" t="s">
        <v>14</v>
      </c>
      <c r="D7" s="271">
        <v>0</v>
      </c>
      <c r="E7" s="272">
        <f>IF(B7="","",IF(B7&gt;D7,3,IF(B7=D7,1,0)))</f>
        <v>3</v>
      </c>
      <c r="F7" s="269">
        <v>5</v>
      </c>
      <c r="G7" s="270" t="s">
        <v>14</v>
      </c>
      <c r="H7" s="271">
        <v>0</v>
      </c>
      <c r="I7" s="272">
        <f>IF(F7="","",IF(F7&gt;H7,3,IF(F7=H7,1,0)))</f>
        <v>3</v>
      </c>
      <c r="J7" s="269">
        <v>0</v>
      </c>
      <c r="K7" s="270" t="s">
        <v>14</v>
      </c>
      <c r="L7" s="271">
        <v>5</v>
      </c>
      <c r="M7" s="273">
        <f>IF(J7="","",IF(J7&gt;L7,3,IF(J7=L7,1,0)))</f>
        <v>0</v>
      </c>
      <c r="N7" s="269">
        <v>5</v>
      </c>
      <c r="O7" s="270" t="s">
        <v>14</v>
      </c>
      <c r="P7" s="271">
        <v>0</v>
      </c>
      <c r="Q7" s="273">
        <f>IF(N7="","",IF(N7&gt;P7,3,IF(N7=P7,1,0)))</f>
        <v>3</v>
      </c>
      <c r="R7" s="269">
        <v>0</v>
      </c>
      <c r="S7" s="270" t="s">
        <v>14</v>
      </c>
      <c r="T7" s="271">
        <v>5</v>
      </c>
      <c r="U7" s="273">
        <f>IF(R7="","",IF(R7&gt;T7,3,IF(R7=T7,1,0)))</f>
        <v>0</v>
      </c>
      <c r="V7" s="269">
        <v>5</v>
      </c>
      <c r="W7" s="270" t="s">
        <v>14</v>
      </c>
      <c r="X7" s="271">
        <v>0</v>
      </c>
      <c r="Y7" s="273">
        <f>IF(V7="","",IF(V7&gt;X7,3,IF(V7=X7,1,0)))</f>
        <v>3</v>
      </c>
    </row>
    <row r="8" spans="1:25" ht="13.5" thickBot="1">
      <c r="A8" s="214" t="s">
        <v>165</v>
      </c>
      <c r="B8" s="215">
        <f>SUM(B3:B7)</f>
        <v>40</v>
      </c>
      <c r="C8" s="216" t="s">
        <v>14</v>
      </c>
      <c r="D8" s="217">
        <f>SUM(D3:D7)</f>
        <v>0</v>
      </c>
      <c r="E8" s="216">
        <f>SUM(E3:E7)</f>
        <v>15</v>
      </c>
      <c r="F8" s="215">
        <f>SUM(F3:F7)</f>
        <v>15</v>
      </c>
      <c r="G8" s="216" t="s">
        <v>14</v>
      </c>
      <c r="H8" s="217">
        <f>SUM(H3:H7)</f>
        <v>10</v>
      </c>
      <c r="I8" s="216">
        <f>SUM(I3:I7)</f>
        <v>12</v>
      </c>
      <c r="J8" s="215">
        <f>SUM(J3:J7)</f>
        <v>0</v>
      </c>
      <c r="K8" s="216" t="s">
        <v>14</v>
      </c>
      <c r="L8" s="217">
        <f>SUM(L3:L7)</f>
        <v>25</v>
      </c>
      <c r="M8" s="214">
        <f>SUM(M3:M7)</f>
        <v>0</v>
      </c>
      <c r="N8" s="215">
        <f>SUM(N3:N7)</f>
        <v>11</v>
      </c>
      <c r="O8" s="216" t="s">
        <v>14</v>
      </c>
      <c r="P8" s="217">
        <f>SUM(P3:P7)</f>
        <v>16</v>
      </c>
      <c r="Q8" s="214">
        <f>SUM(Q3:Q7)</f>
        <v>6</v>
      </c>
      <c r="R8" s="215">
        <f>SUM(R3:R7)</f>
        <v>0</v>
      </c>
      <c r="S8" s="216" t="s">
        <v>14</v>
      </c>
      <c r="T8" s="217">
        <f>SUM(T3:T7)</f>
        <v>25</v>
      </c>
      <c r="U8" s="214">
        <f>SUM(U3:U7)</f>
        <v>0</v>
      </c>
      <c r="V8" s="215">
        <f>SUM(V3:V7)</f>
        <v>13</v>
      </c>
      <c r="W8" s="216" t="s">
        <v>14</v>
      </c>
      <c r="X8" s="217">
        <f>SUM(X3:X7)</f>
        <v>13</v>
      </c>
      <c r="Y8" s="215">
        <f>SUM(Y3:Y7)</f>
        <v>9</v>
      </c>
    </row>
    <row r="9" spans="1:25" ht="13.5" thickBot="1">
      <c r="A9" s="218" t="s">
        <v>11</v>
      </c>
      <c r="B9" s="218"/>
      <c r="C9" s="219"/>
      <c r="D9" s="220"/>
      <c r="E9" s="221">
        <v>1</v>
      </c>
      <c r="F9" s="218"/>
      <c r="G9" s="219"/>
      <c r="H9" s="220"/>
      <c r="I9" s="221">
        <v>2</v>
      </c>
      <c r="J9" s="218"/>
      <c r="K9" s="219"/>
      <c r="L9" s="220"/>
      <c r="M9" s="221">
        <v>0</v>
      </c>
      <c r="N9" s="218"/>
      <c r="O9" s="219"/>
      <c r="P9" s="220"/>
      <c r="Q9" s="221">
        <v>4</v>
      </c>
      <c r="R9" s="214"/>
      <c r="S9" s="222"/>
      <c r="T9" s="223"/>
      <c r="U9" s="221">
        <v>0</v>
      </c>
      <c r="V9" s="220"/>
      <c r="W9" s="219"/>
      <c r="X9" s="220"/>
      <c r="Y9" s="221">
        <v>3</v>
      </c>
    </row>
    <row r="10" spans="1:25" ht="13.5" thickBot="1">
      <c r="A10" s="218" t="s">
        <v>166</v>
      </c>
      <c r="B10" s="218"/>
      <c r="C10" s="219"/>
      <c r="D10" s="220"/>
      <c r="E10" s="224">
        <v>6</v>
      </c>
      <c r="F10" s="218"/>
      <c r="G10" s="219"/>
      <c r="H10" s="220"/>
      <c r="I10" s="224">
        <v>5</v>
      </c>
      <c r="J10" s="218"/>
      <c r="K10" s="219"/>
      <c r="L10" s="220"/>
      <c r="M10" s="221">
        <v>0</v>
      </c>
      <c r="N10" s="218"/>
      <c r="O10" s="219"/>
      <c r="P10" s="220"/>
      <c r="Q10" s="224">
        <v>3</v>
      </c>
      <c r="R10" s="214"/>
      <c r="S10" s="222"/>
      <c r="T10" s="223"/>
      <c r="U10" s="221">
        <v>0</v>
      </c>
      <c r="V10" s="220"/>
      <c r="W10" s="219"/>
      <c r="X10" s="220"/>
      <c r="Y10" s="224">
        <v>4</v>
      </c>
    </row>
    <row r="11" spans="1:25" ht="13.5" thickBot="1">
      <c r="A11" s="215"/>
      <c r="B11" s="220"/>
      <c r="C11" s="219"/>
      <c r="D11" s="223"/>
      <c r="E11" s="225"/>
      <c r="F11" s="218"/>
      <c r="G11" s="219"/>
      <c r="H11" s="223"/>
      <c r="I11" s="225"/>
      <c r="J11" s="218"/>
      <c r="K11" s="219"/>
      <c r="L11" s="223"/>
      <c r="M11" s="226"/>
      <c r="N11" s="218"/>
      <c r="O11" s="219"/>
      <c r="P11" s="223"/>
      <c r="Q11" s="225"/>
      <c r="R11" s="214"/>
      <c r="S11" s="222"/>
      <c r="T11" s="223"/>
      <c r="U11" s="226"/>
      <c r="V11" s="220"/>
      <c r="W11" s="219"/>
      <c r="X11" s="223"/>
      <c r="Y11" s="225"/>
    </row>
    <row r="12" spans="1:25" ht="13.5" thickBot="1">
      <c r="A12" s="215" t="s">
        <v>167</v>
      </c>
      <c r="B12" s="220"/>
      <c r="C12" s="219"/>
      <c r="D12" s="220"/>
      <c r="E12" s="221">
        <v>6</v>
      </c>
      <c r="F12" s="214"/>
      <c r="G12" s="222"/>
      <c r="H12" s="223"/>
      <c r="I12" s="221">
        <v>6</v>
      </c>
      <c r="J12" s="214"/>
      <c r="K12" s="222"/>
      <c r="L12" s="223"/>
      <c r="M12" s="221">
        <v>4</v>
      </c>
      <c r="N12" s="214"/>
      <c r="O12" s="222"/>
      <c r="P12" s="223"/>
      <c r="Q12" s="221">
        <v>3</v>
      </c>
      <c r="R12" s="214"/>
      <c r="S12" s="222"/>
      <c r="T12" s="223"/>
      <c r="U12" s="221">
        <v>2</v>
      </c>
      <c r="V12" s="223"/>
      <c r="W12" s="222"/>
      <c r="X12" s="223"/>
      <c r="Y12" s="221">
        <v>1</v>
      </c>
    </row>
    <row r="13" spans="1:25" ht="13.5" thickBot="1">
      <c r="A13" s="215" t="s">
        <v>168</v>
      </c>
      <c r="B13" s="220"/>
      <c r="C13" s="219"/>
      <c r="D13" s="220"/>
      <c r="E13" s="221">
        <f>SUM(E10:E12)</f>
        <v>12</v>
      </c>
      <c r="F13" s="214"/>
      <c r="G13" s="222"/>
      <c r="H13" s="223"/>
      <c r="I13" s="221">
        <f>SUM(I10:I12)</f>
        <v>11</v>
      </c>
      <c r="J13" s="214"/>
      <c r="K13" s="222"/>
      <c r="L13" s="223"/>
      <c r="M13" s="221">
        <f>SUM(M10:M12)</f>
        <v>4</v>
      </c>
      <c r="N13" s="214"/>
      <c r="O13" s="222"/>
      <c r="P13" s="223"/>
      <c r="Q13" s="221">
        <f>SUM(Q10:Q12)</f>
        <v>6</v>
      </c>
      <c r="R13" s="214"/>
      <c r="S13" s="222"/>
      <c r="T13" s="223"/>
      <c r="U13" s="221">
        <f>SUM(U10:U12)</f>
        <v>2</v>
      </c>
      <c r="V13" s="223"/>
      <c r="W13" s="222"/>
      <c r="X13" s="223"/>
      <c r="Y13" s="221">
        <f>SUM(Y10:Y12)</f>
        <v>5</v>
      </c>
    </row>
    <row r="14" spans="1:25" ht="13.5" thickBot="1">
      <c r="A14" s="214" t="s">
        <v>11</v>
      </c>
      <c r="B14" s="214"/>
      <c r="C14" s="222"/>
      <c r="D14" s="223"/>
      <c r="E14" s="221">
        <v>1</v>
      </c>
      <c r="F14" s="214"/>
      <c r="G14" s="222"/>
      <c r="H14" s="223"/>
      <c r="I14" s="221">
        <v>2</v>
      </c>
      <c r="J14" s="214"/>
      <c r="K14" s="222"/>
      <c r="L14" s="223"/>
      <c r="M14" s="221">
        <v>5</v>
      </c>
      <c r="N14" s="214"/>
      <c r="O14" s="222"/>
      <c r="P14" s="223"/>
      <c r="Q14" s="221">
        <v>3</v>
      </c>
      <c r="R14" s="214"/>
      <c r="S14" s="222"/>
      <c r="T14" s="223"/>
      <c r="U14" s="221">
        <v>6</v>
      </c>
      <c r="V14" s="214"/>
      <c r="W14" s="222"/>
      <c r="X14" s="223"/>
      <c r="Y14" s="221">
        <v>4</v>
      </c>
    </row>
    <row r="18" spans="1:22" ht="14.25" customHeight="1">
      <c r="A18" s="635" t="s">
        <v>193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</row>
    <row r="20" spans="1:25" ht="14.25" customHeight="1">
      <c r="A20" s="635" t="s">
        <v>209</v>
      </c>
      <c r="B20" s="635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</row>
    <row r="21" spans="1:25" ht="14.25" customHeight="1">
      <c r="A21" s="635" t="s">
        <v>210</v>
      </c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</row>
  </sheetData>
  <sheetProtection/>
  <mergeCells count="15">
    <mergeCell ref="A21:Y21"/>
    <mergeCell ref="F2:H2"/>
    <mergeCell ref="J2:L2"/>
    <mergeCell ref="N2:P2"/>
    <mergeCell ref="R2:T2"/>
    <mergeCell ref="V2:X2"/>
    <mergeCell ref="A20:Y20"/>
    <mergeCell ref="A18:V18"/>
    <mergeCell ref="J1:M1"/>
    <mergeCell ref="N1:Q1"/>
    <mergeCell ref="R1:U1"/>
    <mergeCell ref="V1:Y1"/>
    <mergeCell ref="B2:D2"/>
    <mergeCell ref="B1:E1"/>
    <mergeCell ref="F1:I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11.421875" style="255" customWidth="1"/>
    <col min="2" max="2" width="34.28125" style="263" customWidth="1"/>
    <col min="3" max="16384" width="11.421875" style="255" customWidth="1"/>
  </cols>
  <sheetData>
    <row r="1" spans="1:8" ht="22.5">
      <c r="A1" s="636" t="s">
        <v>194</v>
      </c>
      <c r="B1" s="636"/>
      <c r="C1" s="636"/>
      <c r="D1" s="636"/>
      <c r="E1" s="636"/>
      <c r="F1" s="636"/>
      <c r="G1" s="636"/>
      <c r="H1" s="636"/>
    </row>
    <row r="2" spans="1:8" ht="22.5">
      <c r="A2" s="197"/>
      <c r="B2" s="256"/>
      <c r="C2" s="197"/>
      <c r="D2" s="197"/>
      <c r="E2" s="197"/>
      <c r="F2" s="197"/>
      <c r="G2" s="197"/>
      <c r="H2" s="197"/>
    </row>
    <row r="3" spans="1:8" ht="12.75">
      <c r="A3" s="198"/>
      <c r="B3" s="257"/>
      <c r="C3" s="198" t="s">
        <v>184</v>
      </c>
      <c r="D3" s="637" t="s">
        <v>9</v>
      </c>
      <c r="E3" s="637"/>
      <c r="F3" s="637"/>
      <c r="G3" s="199" t="s">
        <v>195</v>
      </c>
      <c r="H3" s="198" t="s">
        <v>10</v>
      </c>
    </row>
    <row r="4" spans="1:8" ht="15">
      <c r="A4" s="258" t="s">
        <v>185</v>
      </c>
      <c r="B4" s="259" t="s">
        <v>196</v>
      </c>
      <c r="C4" s="260">
        <v>8</v>
      </c>
      <c r="D4" s="260">
        <v>31</v>
      </c>
      <c r="E4" s="261" t="s">
        <v>14</v>
      </c>
      <c r="F4" s="260">
        <v>8</v>
      </c>
      <c r="G4" s="260">
        <v>23</v>
      </c>
      <c r="H4" s="260">
        <v>21</v>
      </c>
    </row>
    <row r="5" spans="1:8" ht="15">
      <c r="A5" s="258" t="s">
        <v>186</v>
      </c>
      <c r="B5" s="259" t="s">
        <v>197</v>
      </c>
      <c r="C5" s="261">
        <v>8</v>
      </c>
      <c r="D5" s="261">
        <v>28</v>
      </c>
      <c r="E5" s="261" t="s">
        <v>14</v>
      </c>
      <c r="F5" s="261">
        <v>6</v>
      </c>
      <c r="G5" s="261">
        <v>22</v>
      </c>
      <c r="H5" s="261">
        <v>19</v>
      </c>
    </row>
    <row r="6" spans="1:8" ht="15">
      <c r="A6" s="258" t="s">
        <v>187</v>
      </c>
      <c r="B6" s="259" t="s">
        <v>198</v>
      </c>
      <c r="C6" s="260">
        <v>8</v>
      </c>
      <c r="D6" s="260">
        <v>16</v>
      </c>
      <c r="E6" s="261" t="s">
        <v>14</v>
      </c>
      <c r="F6" s="260">
        <v>26</v>
      </c>
      <c r="G6" s="260">
        <v>-10</v>
      </c>
      <c r="H6" s="260">
        <v>9</v>
      </c>
    </row>
    <row r="7" spans="1:8" ht="15">
      <c r="A7" s="258" t="s">
        <v>188</v>
      </c>
      <c r="B7" s="259" t="s">
        <v>199</v>
      </c>
      <c r="C7" s="260">
        <v>8</v>
      </c>
      <c r="D7" s="260">
        <v>11</v>
      </c>
      <c r="E7" s="261" t="s">
        <v>14</v>
      </c>
      <c r="F7" s="260">
        <v>21</v>
      </c>
      <c r="G7" s="260">
        <v>-10</v>
      </c>
      <c r="H7" s="260">
        <v>6</v>
      </c>
    </row>
    <row r="8" spans="1:8" ht="15">
      <c r="A8" s="258" t="s">
        <v>189</v>
      </c>
      <c r="B8" s="259" t="s">
        <v>200</v>
      </c>
      <c r="C8" s="261">
        <v>8</v>
      </c>
      <c r="D8" s="261">
        <v>0</v>
      </c>
      <c r="E8" s="261" t="s">
        <v>14</v>
      </c>
      <c r="F8" s="261">
        <v>35</v>
      </c>
      <c r="G8" s="261">
        <v>-35</v>
      </c>
      <c r="H8" s="261">
        <v>1</v>
      </c>
    </row>
    <row r="9" spans="1:8" ht="15">
      <c r="A9" s="258"/>
      <c r="B9" s="259"/>
      <c r="C9" s="258"/>
      <c r="D9" s="258"/>
      <c r="E9" s="258"/>
      <c r="F9" s="258"/>
      <c r="G9" s="262"/>
      <c r="H9" s="258"/>
    </row>
  </sheetData>
  <sheetProtection/>
  <mergeCells count="2">
    <mergeCell ref="A1:H1"/>
    <mergeCell ref="D3:F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AH65"/>
  <sheetViews>
    <sheetView zoomScalePageLayoutView="0" workbookViewId="0" topLeftCell="A31">
      <selection activeCell="T17" sqref="T17:X17"/>
    </sheetView>
  </sheetViews>
  <sheetFormatPr defaultColWidth="11.421875" defaultRowHeight="12.75"/>
  <cols>
    <col min="1" max="2" width="5.7109375" style="90" customWidth="1"/>
    <col min="3" max="20" width="2.7109375" style="90" customWidth="1"/>
    <col min="21" max="23" width="5.7109375" style="90" customWidth="1"/>
    <col min="24" max="24" width="2.7109375" style="90" customWidth="1"/>
    <col min="25" max="25" width="6.28125" style="104" customWidth="1"/>
    <col min="26" max="26" width="2.7109375" style="90" customWidth="1"/>
    <col min="27" max="27" width="6.8515625" style="90" customWidth="1"/>
    <col min="28" max="28" width="3.140625" style="90" customWidth="1"/>
    <col min="29" max="29" width="27.00390625" style="101" customWidth="1"/>
    <col min="30" max="30" width="2.7109375" style="90" customWidth="1"/>
    <col min="31" max="34" width="5.7109375" style="90" customWidth="1"/>
    <col min="35" max="35" width="9.00390625" style="90" customWidth="1"/>
    <col min="36" max="47" width="2.7109375" style="90" customWidth="1"/>
    <col min="48" max="16384" width="11.421875" style="90" customWidth="1"/>
  </cols>
  <sheetData>
    <row r="1" spans="1:34" ht="15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6"/>
      <c r="Z1" s="91"/>
      <c r="AA1" s="91"/>
      <c r="AB1" s="91"/>
      <c r="AC1" s="107"/>
      <c r="AD1" s="91"/>
      <c r="AE1" s="91"/>
      <c r="AF1" s="91"/>
      <c r="AG1" s="91"/>
      <c r="AH1" s="91"/>
    </row>
    <row r="2" spans="1:34" ht="12.75" customHeigh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91"/>
      <c r="X2" s="92"/>
      <c r="Y2" s="105"/>
      <c r="Z2" s="92"/>
      <c r="AA2" s="92"/>
      <c r="AB2" s="92"/>
      <c r="AC2" s="96"/>
      <c r="AD2" s="92"/>
      <c r="AE2" s="91"/>
      <c r="AF2" s="91"/>
      <c r="AG2" s="91"/>
      <c r="AH2" s="91"/>
    </row>
    <row r="3" spans="1:34" ht="12.75" customHeight="1">
      <c r="A3" s="91"/>
      <c r="B3" s="91"/>
      <c r="C3" s="92"/>
      <c r="D3" s="640" t="s">
        <v>86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109"/>
      <c r="V3" s="109"/>
      <c r="W3" s="109"/>
      <c r="X3" s="100"/>
      <c r="Y3" s="118">
        <v>10</v>
      </c>
      <c r="Z3" s="119"/>
      <c r="AA3" s="120" t="s">
        <v>89</v>
      </c>
      <c r="AB3" s="119"/>
      <c r="AC3" s="121" t="s">
        <v>107</v>
      </c>
      <c r="AD3" s="98"/>
      <c r="AE3" s="91"/>
      <c r="AF3" s="91"/>
      <c r="AG3" s="91"/>
      <c r="AH3" s="91"/>
    </row>
    <row r="4" spans="1:34" ht="12.75" customHeight="1">
      <c r="A4" s="91"/>
      <c r="B4" s="9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0"/>
      <c r="V4" s="110"/>
      <c r="W4" s="110"/>
      <c r="X4" s="93"/>
      <c r="Y4" s="122">
        <v>20</v>
      </c>
      <c r="Z4" s="115"/>
      <c r="AA4" s="115" t="s">
        <v>90</v>
      </c>
      <c r="AB4" s="115"/>
      <c r="AC4" s="114" t="s">
        <v>108</v>
      </c>
      <c r="AD4" s="92"/>
      <c r="AE4" s="91"/>
      <c r="AF4" s="91"/>
      <c r="AG4" s="91"/>
      <c r="AH4" s="91"/>
    </row>
    <row r="5" spans="1:34" s="102" customFormat="1" ht="12.75" customHeight="1">
      <c r="A5" s="108"/>
      <c r="B5" s="108"/>
      <c r="C5" s="103"/>
      <c r="D5" s="639" t="s">
        <v>88</v>
      </c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111"/>
      <c r="V5" s="111"/>
      <c r="W5" s="111"/>
      <c r="X5" s="95"/>
      <c r="Y5" s="118">
        <v>30</v>
      </c>
      <c r="Z5" s="116"/>
      <c r="AA5" s="115" t="s">
        <v>91</v>
      </c>
      <c r="AB5" s="116"/>
      <c r="AC5" s="114" t="s">
        <v>109</v>
      </c>
      <c r="AD5" s="103"/>
      <c r="AE5" s="108"/>
      <c r="AF5" s="108"/>
      <c r="AG5" s="108"/>
      <c r="AH5" s="108"/>
    </row>
    <row r="6" spans="1:34" ht="12.75" customHeight="1">
      <c r="A6" s="91"/>
      <c r="B6" s="91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0"/>
      <c r="V6" s="110"/>
      <c r="W6" s="110"/>
      <c r="X6" s="93"/>
      <c r="Y6" s="122">
        <v>40</v>
      </c>
      <c r="Z6" s="115"/>
      <c r="AA6" s="115" t="s">
        <v>92</v>
      </c>
      <c r="AB6" s="115"/>
      <c r="AC6" s="114" t="s">
        <v>118</v>
      </c>
      <c r="AD6" s="92"/>
      <c r="AE6" s="91"/>
      <c r="AF6" s="91"/>
      <c r="AG6" s="91"/>
      <c r="AH6" s="91"/>
    </row>
    <row r="7" spans="1:34" ht="12.75" customHeight="1">
      <c r="A7" s="91"/>
      <c r="B7" s="91"/>
      <c r="C7" s="92"/>
      <c r="D7" s="640" t="s">
        <v>87</v>
      </c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109"/>
      <c r="V7" s="109"/>
      <c r="W7" s="109"/>
      <c r="X7" s="100"/>
      <c r="Y7" s="118">
        <v>50</v>
      </c>
      <c r="Z7" s="119"/>
      <c r="AA7" s="120" t="s">
        <v>93</v>
      </c>
      <c r="AB7" s="119"/>
      <c r="AC7" s="121" t="s">
        <v>110</v>
      </c>
      <c r="AD7" s="98"/>
      <c r="AE7" s="91"/>
      <c r="AF7" s="91"/>
      <c r="AG7" s="91"/>
      <c r="AH7" s="91"/>
    </row>
    <row r="8" spans="1:34" ht="12.75" customHeight="1">
      <c r="A8" s="91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1"/>
      <c r="V8" s="91"/>
      <c r="W8" s="91"/>
      <c r="X8" s="92"/>
      <c r="Y8" s="122">
        <v>60</v>
      </c>
      <c r="Z8" s="113"/>
      <c r="AA8" s="113" t="s">
        <v>94</v>
      </c>
      <c r="AB8" s="113"/>
      <c r="AC8" s="117" t="s">
        <v>111</v>
      </c>
      <c r="AD8" s="92"/>
      <c r="AE8" s="91"/>
      <c r="AF8" s="91"/>
      <c r="AG8" s="91"/>
      <c r="AH8" s="91"/>
    </row>
    <row r="9" spans="1:34" ht="12.75" customHeight="1">
      <c r="A9" s="91"/>
      <c r="B9" s="91"/>
      <c r="C9" s="92"/>
      <c r="D9" s="92"/>
      <c r="E9" s="92"/>
      <c r="F9" s="92"/>
      <c r="G9" s="92"/>
      <c r="H9" s="92"/>
      <c r="I9" s="92"/>
      <c r="J9" s="92"/>
      <c r="K9" s="92"/>
      <c r="L9" s="641" t="b">
        <v>1</v>
      </c>
      <c r="M9" s="641"/>
      <c r="N9" s="641"/>
      <c r="O9" s="92"/>
      <c r="P9" s="112">
        <f>IF(L9,3,2)</f>
        <v>3</v>
      </c>
      <c r="Q9" s="92"/>
      <c r="R9" s="92"/>
      <c r="S9" s="92"/>
      <c r="T9" s="92"/>
      <c r="U9" s="91"/>
      <c r="V9" s="91"/>
      <c r="W9" s="91"/>
      <c r="X9" s="92"/>
      <c r="Y9" s="118">
        <v>70</v>
      </c>
      <c r="Z9" s="113"/>
      <c r="AA9" s="113" t="s">
        <v>95</v>
      </c>
      <c r="AB9" s="113"/>
      <c r="AC9" s="117" t="s">
        <v>112</v>
      </c>
      <c r="AD9" s="92"/>
      <c r="AE9" s="91"/>
      <c r="AF9" s="91"/>
      <c r="AG9" s="91"/>
      <c r="AH9" s="91"/>
    </row>
    <row r="10" spans="1:34" ht="12.75" customHeight="1">
      <c r="A10" s="91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91"/>
      <c r="W10" s="91"/>
      <c r="X10" s="92"/>
      <c r="Y10" s="122">
        <v>80</v>
      </c>
      <c r="Z10" s="113"/>
      <c r="AA10" s="113" t="s">
        <v>96</v>
      </c>
      <c r="AB10" s="113"/>
      <c r="AC10" s="117" t="s">
        <v>119</v>
      </c>
      <c r="AD10" s="92"/>
      <c r="AE10" s="91"/>
      <c r="AF10" s="91"/>
      <c r="AG10" s="91"/>
      <c r="AH10" s="91"/>
    </row>
    <row r="11" spans="1:34" ht="12.75" customHeight="1">
      <c r="A11" s="91"/>
      <c r="B11" s="9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1"/>
      <c r="V11" s="91"/>
      <c r="W11" s="91"/>
      <c r="X11" s="92"/>
      <c r="Y11" s="118">
        <v>90</v>
      </c>
      <c r="Z11" s="113"/>
      <c r="AA11" s="113" t="s">
        <v>97</v>
      </c>
      <c r="AB11" s="113"/>
      <c r="AC11" s="117" t="s">
        <v>113</v>
      </c>
      <c r="AD11" s="92"/>
      <c r="AE11" s="91"/>
      <c r="AF11" s="91"/>
      <c r="AG11" s="91"/>
      <c r="AH11" s="91"/>
    </row>
    <row r="12" spans="1:34" ht="12.75" customHeight="1">
      <c r="A12" s="91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/>
      <c r="V12" s="91"/>
      <c r="W12" s="91"/>
      <c r="X12" s="92"/>
      <c r="Y12" s="122">
        <v>100</v>
      </c>
      <c r="Z12" s="113"/>
      <c r="AA12" s="113" t="s">
        <v>98</v>
      </c>
      <c r="AB12" s="113"/>
      <c r="AC12" s="117" t="s">
        <v>114</v>
      </c>
      <c r="AD12" s="92"/>
      <c r="AE12" s="91"/>
      <c r="AF12" s="91"/>
      <c r="AG12" s="91"/>
      <c r="AH12" s="91"/>
    </row>
    <row r="13" spans="1:34" ht="12.75" customHeight="1">
      <c r="A13" s="91"/>
      <c r="B13" s="91"/>
      <c r="C13" s="92"/>
      <c r="D13" s="639" t="s">
        <v>151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91"/>
      <c r="V13" s="91"/>
      <c r="W13" s="91"/>
      <c r="X13" s="92"/>
      <c r="Y13" s="118">
        <v>110</v>
      </c>
      <c r="Z13" s="113"/>
      <c r="AA13" s="113" t="s">
        <v>99</v>
      </c>
      <c r="AB13" s="113"/>
      <c r="AC13" s="117" t="s">
        <v>115</v>
      </c>
      <c r="AD13" s="92"/>
      <c r="AE13" s="91"/>
      <c r="AF13" s="91"/>
      <c r="AG13" s="91"/>
      <c r="AH13" s="91"/>
    </row>
    <row r="14" spans="1:34" ht="12.75" customHeight="1">
      <c r="A14" s="91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1"/>
      <c r="V14" s="91"/>
      <c r="W14" s="91"/>
      <c r="X14" s="92"/>
      <c r="Y14" s="122">
        <v>120</v>
      </c>
      <c r="Z14" s="113"/>
      <c r="AA14" s="113" t="s">
        <v>100</v>
      </c>
      <c r="AB14" s="113"/>
      <c r="AC14" s="117" t="s">
        <v>116</v>
      </c>
      <c r="AD14" s="92"/>
      <c r="AE14" s="91"/>
      <c r="AF14" s="91"/>
      <c r="AG14" s="91"/>
      <c r="AH14" s="91"/>
    </row>
    <row r="15" spans="1:34" s="102" customFormat="1" ht="12.75" customHeight="1">
      <c r="A15" s="108"/>
      <c r="B15" s="108"/>
      <c r="C15" s="103"/>
      <c r="D15" s="639" t="s">
        <v>150</v>
      </c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108"/>
      <c r="V15" s="108"/>
      <c r="W15" s="108"/>
      <c r="X15" s="103"/>
      <c r="Y15" s="118">
        <v>130</v>
      </c>
      <c r="Z15" s="123"/>
      <c r="AA15" s="113" t="s">
        <v>101</v>
      </c>
      <c r="AB15" s="123"/>
      <c r="AC15" s="117" t="s">
        <v>117</v>
      </c>
      <c r="AD15" s="103"/>
      <c r="AE15" s="108"/>
      <c r="AF15" s="108"/>
      <c r="AG15" s="108"/>
      <c r="AH15" s="108"/>
    </row>
    <row r="16" spans="1:34" ht="12.75" customHeight="1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1"/>
      <c r="V16" s="91"/>
      <c r="W16" s="91"/>
      <c r="X16" s="92"/>
      <c r="Y16" s="122">
        <v>140</v>
      </c>
      <c r="Z16" s="113"/>
      <c r="AA16" s="113" t="s">
        <v>102</v>
      </c>
      <c r="AB16" s="113"/>
      <c r="AC16" s="117" t="s">
        <v>120</v>
      </c>
      <c r="AD16" s="92"/>
      <c r="AE16" s="91"/>
      <c r="AF16" s="91"/>
      <c r="AG16" s="91"/>
      <c r="AH16" s="91"/>
    </row>
    <row r="17" spans="1:34" s="102" customFormat="1" ht="12.75" customHeight="1">
      <c r="A17" s="108"/>
      <c r="B17" s="108"/>
      <c r="C17" s="10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7"/>
      <c r="U17" s="108"/>
      <c r="V17" s="108"/>
      <c r="W17" s="108"/>
      <c r="X17" s="103"/>
      <c r="Y17" s="118">
        <v>150</v>
      </c>
      <c r="Z17" s="123"/>
      <c r="AA17" s="113"/>
      <c r="AB17" s="123"/>
      <c r="AC17" s="117"/>
      <c r="AD17" s="103"/>
      <c r="AE17" s="108"/>
      <c r="AF17" s="108"/>
      <c r="AG17" s="108"/>
      <c r="AH17" s="108"/>
    </row>
    <row r="18" spans="1:34" ht="12.75" customHeight="1">
      <c r="A18" s="9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1"/>
      <c r="V18" s="91"/>
      <c r="W18" s="91"/>
      <c r="X18" s="92"/>
      <c r="Y18" s="122">
        <v>160</v>
      </c>
      <c r="Z18" s="113"/>
      <c r="AA18" s="113" t="s">
        <v>103</v>
      </c>
      <c r="AB18" s="113"/>
      <c r="AC18" s="117" t="s">
        <v>121</v>
      </c>
      <c r="AD18" s="92"/>
      <c r="AE18" s="91"/>
      <c r="AF18" s="91"/>
      <c r="AG18" s="91"/>
      <c r="AH18" s="91"/>
    </row>
    <row r="19" spans="1:34" ht="12.75" customHeight="1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31">
        <v>1</v>
      </c>
      <c r="R19" s="92"/>
      <c r="S19" s="92"/>
      <c r="T19" s="92"/>
      <c r="U19" s="91"/>
      <c r="V19" s="91"/>
      <c r="W19" s="91"/>
      <c r="X19" s="92"/>
      <c r="Y19" s="118">
        <v>170</v>
      </c>
      <c r="Z19" s="113"/>
      <c r="AA19" s="113" t="s">
        <v>104</v>
      </c>
      <c r="AB19" s="113"/>
      <c r="AC19" s="117" t="s">
        <v>122</v>
      </c>
      <c r="AD19" s="92"/>
      <c r="AE19" s="91"/>
      <c r="AF19" s="91"/>
      <c r="AG19" s="91"/>
      <c r="AH19" s="91"/>
    </row>
    <row r="20" spans="1:34" ht="12.75" customHeight="1">
      <c r="A20" s="9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1"/>
      <c r="V20" s="91"/>
      <c r="W20" s="91"/>
      <c r="X20" s="92"/>
      <c r="Y20" s="122">
        <v>180</v>
      </c>
      <c r="Z20" s="113"/>
      <c r="AA20" s="113" t="s">
        <v>105</v>
      </c>
      <c r="AB20" s="113"/>
      <c r="AC20" s="117" t="s">
        <v>123</v>
      </c>
      <c r="AD20" s="92"/>
      <c r="AE20" s="91"/>
      <c r="AF20" s="91"/>
      <c r="AG20" s="91"/>
      <c r="AH20" s="91"/>
    </row>
    <row r="21" spans="1:34" ht="12.75" customHeight="1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1"/>
      <c r="V21" s="91"/>
      <c r="W21" s="91"/>
      <c r="X21" s="92"/>
      <c r="Y21" s="118">
        <v>190</v>
      </c>
      <c r="Z21" s="113"/>
      <c r="AA21" s="113"/>
      <c r="AB21" s="113"/>
      <c r="AC21" s="117"/>
      <c r="AD21" s="92"/>
      <c r="AE21" s="91"/>
      <c r="AF21" s="91"/>
      <c r="AG21" s="91"/>
      <c r="AH21" s="91"/>
    </row>
    <row r="22" spans="1:34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7"/>
      <c r="Y22" s="124">
        <v>200</v>
      </c>
      <c r="Z22" s="125"/>
      <c r="AA22" s="125" t="s">
        <v>106</v>
      </c>
      <c r="AB22" s="125"/>
      <c r="AC22" s="126" t="s">
        <v>124</v>
      </c>
      <c r="AD22" s="97"/>
      <c r="AE22" s="91"/>
      <c r="AF22" s="91"/>
      <c r="AG22" s="91"/>
      <c r="AH22" s="91"/>
    </row>
    <row r="23" spans="1:34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118">
        <v>10000</v>
      </c>
      <c r="Z23" s="113"/>
      <c r="AA23" s="113" t="s">
        <v>89</v>
      </c>
      <c r="AB23" s="113"/>
      <c r="AC23" s="121" t="s">
        <v>107</v>
      </c>
      <c r="AD23" s="92"/>
      <c r="AE23" s="91"/>
      <c r="AF23" s="91"/>
      <c r="AG23" s="91"/>
      <c r="AH23" s="91"/>
    </row>
    <row r="24" spans="1:34" ht="12.75" customHeight="1">
      <c r="A24" s="91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1"/>
      <c r="V24" s="91"/>
      <c r="W24" s="91"/>
      <c r="X24" s="92"/>
      <c r="Y24" s="118">
        <v>20000</v>
      </c>
      <c r="Z24" s="113"/>
      <c r="AA24" s="113" t="s">
        <v>90</v>
      </c>
      <c r="AB24" s="113"/>
      <c r="AC24" s="114" t="s">
        <v>108</v>
      </c>
      <c r="AD24" s="92"/>
      <c r="AE24" s="91"/>
      <c r="AF24" s="91"/>
      <c r="AG24" s="91"/>
      <c r="AH24" s="91"/>
    </row>
    <row r="25" spans="1:34" ht="12.75" customHeight="1">
      <c r="A25" s="91"/>
      <c r="B25" s="91"/>
      <c r="C25" s="92"/>
      <c r="D25" s="638" t="s">
        <v>134</v>
      </c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92"/>
      <c r="U25" s="91"/>
      <c r="V25" s="91"/>
      <c r="W25" s="91"/>
      <c r="X25" s="92"/>
      <c r="Y25" s="118">
        <v>30000</v>
      </c>
      <c r="Z25" s="113"/>
      <c r="AA25" s="113" t="s">
        <v>91</v>
      </c>
      <c r="AB25" s="113"/>
      <c r="AC25" s="114" t="s">
        <v>109</v>
      </c>
      <c r="AD25" s="92"/>
      <c r="AE25" s="91"/>
      <c r="AF25" s="91"/>
      <c r="AG25" s="91"/>
      <c r="AH25" s="91"/>
    </row>
    <row r="26" spans="1:34" ht="12.75" customHeight="1">
      <c r="A26" s="91"/>
      <c r="B26" s="91"/>
      <c r="C26" s="92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92"/>
      <c r="U26" s="91"/>
      <c r="V26" s="91"/>
      <c r="W26" s="91"/>
      <c r="X26" s="92"/>
      <c r="Y26" s="118">
        <v>40000</v>
      </c>
      <c r="Z26" s="113"/>
      <c r="AA26" s="113" t="s">
        <v>92</v>
      </c>
      <c r="AB26" s="113"/>
      <c r="AC26" s="114" t="s">
        <v>118</v>
      </c>
      <c r="AD26" s="92"/>
      <c r="AE26" s="91"/>
      <c r="AF26" s="91"/>
      <c r="AG26" s="91"/>
      <c r="AH26" s="91"/>
    </row>
    <row r="27" spans="1:34" ht="12.75" customHeight="1">
      <c r="A27" s="91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1"/>
      <c r="V27" s="91"/>
      <c r="W27" s="91"/>
      <c r="X27" s="92"/>
      <c r="Y27" s="118">
        <v>50000</v>
      </c>
      <c r="Z27" s="113"/>
      <c r="AA27" s="113" t="s">
        <v>93</v>
      </c>
      <c r="AB27" s="113"/>
      <c r="AC27" s="121" t="s">
        <v>110</v>
      </c>
      <c r="AD27" s="92"/>
      <c r="AE27" s="91"/>
      <c r="AF27" s="91"/>
      <c r="AG27" s="91"/>
      <c r="AH27" s="91"/>
    </row>
    <row r="28" spans="1:34" ht="12.75" customHeight="1">
      <c r="A28" s="91"/>
      <c r="B28" s="91"/>
      <c r="C28" s="92"/>
      <c r="D28" s="642" t="s">
        <v>145</v>
      </c>
      <c r="E28" s="642"/>
      <c r="F28" s="128">
        <v>4</v>
      </c>
      <c r="G28" s="642" t="s">
        <v>146</v>
      </c>
      <c r="H28" s="642"/>
      <c r="I28" s="128">
        <v>10</v>
      </c>
      <c r="J28" s="642" t="s">
        <v>147</v>
      </c>
      <c r="K28" s="642"/>
      <c r="L28" s="642"/>
      <c r="M28" s="129" t="s">
        <v>148</v>
      </c>
      <c r="N28" s="644" t="s">
        <v>135</v>
      </c>
      <c r="O28" s="644"/>
      <c r="P28" s="644"/>
      <c r="Q28" s="644"/>
      <c r="R28" s="644"/>
      <c r="S28" s="644"/>
      <c r="T28" s="92"/>
      <c r="U28" s="91"/>
      <c r="V28" s="91"/>
      <c r="W28" s="91"/>
      <c r="X28" s="92"/>
      <c r="Y28" s="118">
        <v>60000</v>
      </c>
      <c r="Z28" s="113"/>
      <c r="AA28" s="113" t="s">
        <v>94</v>
      </c>
      <c r="AB28" s="113"/>
      <c r="AC28" s="117" t="s">
        <v>111</v>
      </c>
      <c r="AD28" s="92"/>
      <c r="AE28" s="91"/>
      <c r="AF28" s="91"/>
      <c r="AG28" s="91"/>
      <c r="AH28" s="91"/>
    </row>
    <row r="29" spans="1:34" ht="12.75" customHeight="1">
      <c r="A29" s="91"/>
      <c r="B29" s="91"/>
      <c r="C29" s="92"/>
      <c r="D29" s="642" t="s">
        <v>145</v>
      </c>
      <c r="E29" s="642"/>
      <c r="F29" s="128">
        <v>10</v>
      </c>
      <c r="G29" s="642" t="s">
        <v>146</v>
      </c>
      <c r="H29" s="642"/>
      <c r="I29" s="128">
        <v>12</v>
      </c>
      <c r="J29" s="642" t="s">
        <v>147</v>
      </c>
      <c r="K29" s="642"/>
      <c r="L29" s="642"/>
      <c r="M29" s="129" t="s">
        <v>148</v>
      </c>
      <c r="N29" s="644" t="s">
        <v>136</v>
      </c>
      <c r="O29" s="644"/>
      <c r="P29" s="644"/>
      <c r="Q29" s="644"/>
      <c r="R29" s="644"/>
      <c r="S29" s="644"/>
      <c r="T29" s="92"/>
      <c r="U29" s="91"/>
      <c r="V29" s="91"/>
      <c r="W29" s="91"/>
      <c r="X29" s="92"/>
      <c r="Y29" s="118">
        <v>70000</v>
      </c>
      <c r="Z29" s="113"/>
      <c r="AA29" s="113" t="s">
        <v>95</v>
      </c>
      <c r="AB29" s="113"/>
      <c r="AC29" s="117" t="s">
        <v>112</v>
      </c>
      <c r="AD29" s="92"/>
      <c r="AE29" s="91"/>
      <c r="AF29" s="91"/>
      <c r="AG29" s="91"/>
      <c r="AH29" s="91"/>
    </row>
    <row r="30" spans="1:34" ht="12.75" customHeight="1">
      <c r="A30" s="91"/>
      <c r="B30" s="91"/>
      <c r="C30" s="92"/>
      <c r="D30" s="642" t="s">
        <v>145</v>
      </c>
      <c r="E30" s="642"/>
      <c r="F30" s="128">
        <v>12</v>
      </c>
      <c r="G30" s="642" t="s">
        <v>146</v>
      </c>
      <c r="H30" s="642"/>
      <c r="I30" s="128">
        <v>14</v>
      </c>
      <c r="J30" s="642" t="s">
        <v>147</v>
      </c>
      <c r="K30" s="642"/>
      <c r="L30" s="642"/>
      <c r="M30" s="129" t="s">
        <v>148</v>
      </c>
      <c r="N30" s="644" t="s">
        <v>137</v>
      </c>
      <c r="O30" s="644"/>
      <c r="P30" s="644"/>
      <c r="Q30" s="644"/>
      <c r="R30" s="644"/>
      <c r="S30" s="644"/>
      <c r="T30" s="92"/>
      <c r="U30" s="91"/>
      <c r="V30" s="91"/>
      <c r="W30" s="91"/>
      <c r="X30" s="92"/>
      <c r="Y30" s="118">
        <v>80000</v>
      </c>
      <c r="Z30" s="113"/>
      <c r="AA30" s="113" t="s">
        <v>96</v>
      </c>
      <c r="AB30" s="113"/>
      <c r="AC30" s="117" t="s">
        <v>119</v>
      </c>
      <c r="AD30" s="92"/>
      <c r="AE30" s="91"/>
      <c r="AF30" s="91"/>
      <c r="AG30" s="91"/>
      <c r="AH30" s="91"/>
    </row>
    <row r="31" spans="1:34" ht="12.75" customHeight="1">
      <c r="A31" s="91"/>
      <c r="B31" s="91"/>
      <c r="C31" s="92"/>
      <c r="D31" s="642" t="s">
        <v>145</v>
      </c>
      <c r="E31" s="642"/>
      <c r="F31" s="128">
        <v>14</v>
      </c>
      <c r="G31" s="642" t="s">
        <v>146</v>
      </c>
      <c r="H31" s="642"/>
      <c r="I31" s="128">
        <v>16</v>
      </c>
      <c r="J31" s="642" t="s">
        <v>147</v>
      </c>
      <c r="K31" s="642"/>
      <c r="L31" s="642"/>
      <c r="M31" s="129" t="s">
        <v>148</v>
      </c>
      <c r="N31" s="644" t="s">
        <v>138</v>
      </c>
      <c r="O31" s="644"/>
      <c r="P31" s="644"/>
      <c r="Q31" s="644"/>
      <c r="R31" s="644"/>
      <c r="S31" s="644"/>
      <c r="T31" s="92"/>
      <c r="U31" s="91"/>
      <c r="V31" s="91"/>
      <c r="W31" s="91"/>
      <c r="X31" s="92"/>
      <c r="Y31" s="118">
        <v>90000</v>
      </c>
      <c r="Z31" s="113"/>
      <c r="AA31" s="113" t="s">
        <v>97</v>
      </c>
      <c r="AB31" s="113"/>
      <c r="AC31" s="117" t="s">
        <v>113</v>
      </c>
      <c r="AD31" s="92"/>
      <c r="AE31" s="91"/>
      <c r="AF31" s="91"/>
      <c r="AG31" s="91"/>
      <c r="AH31" s="91"/>
    </row>
    <row r="32" spans="1:34" ht="12.75" customHeight="1">
      <c r="A32" s="91"/>
      <c r="B32" s="91"/>
      <c r="C32" s="92"/>
      <c r="D32" s="642" t="s">
        <v>145</v>
      </c>
      <c r="E32" s="642"/>
      <c r="F32" s="128">
        <v>16</v>
      </c>
      <c r="G32" s="642" t="s">
        <v>146</v>
      </c>
      <c r="H32" s="642"/>
      <c r="I32" s="128">
        <v>18</v>
      </c>
      <c r="J32" s="642" t="s">
        <v>147</v>
      </c>
      <c r="K32" s="642"/>
      <c r="L32" s="642"/>
      <c r="M32" s="129" t="s">
        <v>148</v>
      </c>
      <c r="N32" s="644" t="s">
        <v>139</v>
      </c>
      <c r="O32" s="644"/>
      <c r="P32" s="644"/>
      <c r="Q32" s="644"/>
      <c r="R32" s="644"/>
      <c r="S32" s="644"/>
      <c r="T32" s="92"/>
      <c r="U32" s="91"/>
      <c r="V32" s="91"/>
      <c r="W32" s="91"/>
      <c r="X32" s="92"/>
      <c r="Y32" s="118">
        <v>100000</v>
      </c>
      <c r="Z32" s="113"/>
      <c r="AA32" s="113" t="s">
        <v>98</v>
      </c>
      <c r="AB32" s="113"/>
      <c r="AC32" s="117" t="s">
        <v>114</v>
      </c>
      <c r="AD32" s="92"/>
      <c r="AE32" s="91"/>
      <c r="AF32" s="91"/>
      <c r="AG32" s="91"/>
      <c r="AH32" s="91"/>
    </row>
    <row r="33" spans="1:34" ht="12.75" customHeight="1">
      <c r="A33" s="91"/>
      <c r="B33" s="91"/>
      <c r="C33" s="92"/>
      <c r="D33" s="642" t="s">
        <v>145</v>
      </c>
      <c r="E33" s="642"/>
      <c r="F33" s="128">
        <v>18</v>
      </c>
      <c r="G33" s="642" t="s">
        <v>146</v>
      </c>
      <c r="H33" s="642"/>
      <c r="I33" s="128">
        <v>99</v>
      </c>
      <c r="J33" s="642" t="s">
        <v>147</v>
      </c>
      <c r="K33" s="642"/>
      <c r="L33" s="642"/>
      <c r="M33" s="129" t="s">
        <v>148</v>
      </c>
      <c r="N33" s="644" t="s">
        <v>140</v>
      </c>
      <c r="O33" s="644"/>
      <c r="P33" s="644"/>
      <c r="Q33" s="644"/>
      <c r="R33" s="644"/>
      <c r="S33" s="644"/>
      <c r="T33" s="92"/>
      <c r="U33" s="91"/>
      <c r="V33" s="91"/>
      <c r="W33" s="91"/>
      <c r="X33" s="92"/>
      <c r="Y33" s="118">
        <v>110000</v>
      </c>
      <c r="Z33" s="113"/>
      <c r="AA33" s="113" t="s">
        <v>99</v>
      </c>
      <c r="AB33" s="113"/>
      <c r="AC33" s="117" t="s">
        <v>115</v>
      </c>
      <c r="AD33" s="92"/>
      <c r="AE33" s="91"/>
      <c r="AF33" s="91"/>
      <c r="AG33" s="91"/>
      <c r="AH33" s="91"/>
    </row>
    <row r="34" spans="1:34" ht="12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1"/>
      <c r="V34" s="91"/>
      <c r="W34" s="91"/>
      <c r="X34" s="92"/>
      <c r="Y34" s="118">
        <v>120000</v>
      </c>
      <c r="Z34" s="113"/>
      <c r="AA34" s="113" t="s">
        <v>100</v>
      </c>
      <c r="AB34" s="113"/>
      <c r="AC34" s="117" t="s">
        <v>116</v>
      </c>
      <c r="AD34" s="92"/>
      <c r="AE34" s="91"/>
      <c r="AF34" s="91"/>
      <c r="AG34" s="91"/>
      <c r="AH34" s="91"/>
    </row>
    <row r="35" spans="1:34" ht="12.75" customHeight="1">
      <c r="A35" s="91"/>
      <c r="B35" s="91"/>
      <c r="C35" s="92"/>
      <c r="D35" s="643" t="s">
        <v>149</v>
      </c>
      <c r="E35" s="643"/>
      <c r="F35" s="643"/>
      <c r="G35" s="643"/>
      <c r="H35" s="645">
        <v>37620</v>
      </c>
      <c r="I35" s="645"/>
      <c r="J35" s="645"/>
      <c r="K35" s="645"/>
      <c r="L35" s="645"/>
      <c r="M35" s="92"/>
      <c r="N35" s="130"/>
      <c r="O35" s="130"/>
      <c r="P35" s="130"/>
      <c r="Q35" s="130"/>
      <c r="R35" s="130"/>
      <c r="S35" s="130"/>
      <c r="T35" s="92"/>
      <c r="U35" s="91"/>
      <c r="V35" s="91"/>
      <c r="W35" s="91"/>
      <c r="X35" s="92"/>
      <c r="Y35" s="118">
        <v>130000</v>
      </c>
      <c r="Z35" s="113"/>
      <c r="AA35" s="113" t="s">
        <v>101</v>
      </c>
      <c r="AB35" s="113"/>
      <c r="AC35" s="117" t="s">
        <v>117</v>
      </c>
      <c r="AD35" s="92"/>
      <c r="AE35" s="91"/>
      <c r="AF35" s="91"/>
      <c r="AG35" s="91"/>
      <c r="AH35" s="91"/>
    </row>
    <row r="36" spans="1:34" ht="12.75" customHeight="1">
      <c r="A36" s="91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1"/>
      <c r="V36" s="91"/>
      <c r="W36" s="91"/>
      <c r="X36" s="92"/>
      <c r="Y36" s="118">
        <v>140000</v>
      </c>
      <c r="Z36" s="113"/>
      <c r="AA36" s="113" t="s">
        <v>102</v>
      </c>
      <c r="AB36" s="113"/>
      <c r="AC36" s="117" t="s">
        <v>120</v>
      </c>
      <c r="AD36" s="92"/>
      <c r="AE36" s="91"/>
      <c r="AF36" s="91"/>
      <c r="AG36" s="91"/>
      <c r="AH36" s="91"/>
    </row>
    <row r="37" spans="1:34" ht="12.75" customHeight="1">
      <c r="A37" s="91"/>
      <c r="B37" s="91"/>
      <c r="C37" s="92"/>
      <c r="D37" s="638" t="s">
        <v>141</v>
      </c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92"/>
      <c r="U37" s="91"/>
      <c r="V37" s="91"/>
      <c r="W37" s="91"/>
      <c r="X37" s="92"/>
      <c r="Y37" s="118">
        <v>150000</v>
      </c>
      <c r="Z37" s="113"/>
      <c r="AA37" s="113"/>
      <c r="AB37" s="113"/>
      <c r="AC37" s="117"/>
      <c r="AD37" s="92"/>
      <c r="AE37" s="91"/>
      <c r="AF37" s="91"/>
      <c r="AG37" s="91"/>
      <c r="AH37" s="91"/>
    </row>
    <row r="38" spans="1:34" ht="12.75" customHeight="1">
      <c r="A38" s="91"/>
      <c r="B38" s="91"/>
      <c r="C38" s="92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92"/>
      <c r="U38" s="91"/>
      <c r="V38" s="91"/>
      <c r="W38" s="91"/>
      <c r="X38" s="92"/>
      <c r="Y38" s="118">
        <v>160000</v>
      </c>
      <c r="Z38" s="113"/>
      <c r="AA38" s="113" t="s">
        <v>103</v>
      </c>
      <c r="AB38" s="113"/>
      <c r="AC38" s="117" t="s">
        <v>121</v>
      </c>
      <c r="AD38" s="92"/>
      <c r="AE38" s="91"/>
      <c r="AF38" s="91"/>
      <c r="AG38" s="91"/>
      <c r="AH38" s="91"/>
    </row>
    <row r="39" spans="1:34" ht="12.75" customHeight="1">
      <c r="A39" s="91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1"/>
      <c r="V39" s="91"/>
      <c r="W39" s="91"/>
      <c r="X39" s="92"/>
      <c r="Y39" s="118">
        <v>170000</v>
      </c>
      <c r="Z39" s="113"/>
      <c r="AA39" s="113" t="s">
        <v>104</v>
      </c>
      <c r="AB39" s="113"/>
      <c r="AC39" s="117" t="s">
        <v>122</v>
      </c>
      <c r="AD39" s="92"/>
      <c r="AE39" s="91"/>
      <c r="AF39" s="91"/>
      <c r="AG39" s="91"/>
      <c r="AH39" s="91"/>
    </row>
    <row r="40" spans="1:34" ht="12.75" customHeight="1">
      <c r="A40" s="91"/>
      <c r="B40" s="91"/>
      <c r="C40" s="92"/>
      <c r="D40" s="642" t="s">
        <v>145</v>
      </c>
      <c r="E40" s="642"/>
      <c r="F40" s="128">
        <v>4</v>
      </c>
      <c r="G40" s="642" t="s">
        <v>146</v>
      </c>
      <c r="H40" s="642"/>
      <c r="I40" s="128">
        <v>14</v>
      </c>
      <c r="J40" s="642" t="s">
        <v>147</v>
      </c>
      <c r="K40" s="642"/>
      <c r="L40" s="642"/>
      <c r="M40" s="129" t="s">
        <v>148</v>
      </c>
      <c r="N40" s="644" t="s">
        <v>142</v>
      </c>
      <c r="O40" s="644"/>
      <c r="P40" s="644"/>
      <c r="Q40" s="644"/>
      <c r="R40" s="644"/>
      <c r="S40" s="644"/>
      <c r="T40" s="92"/>
      <c r="U40" s="91"/>
      <c r="V40" s="91"/>
      <c r="W40" s="91"/>
      <c r="X40" s="92"/>
      <c r="Y40" s="118">
        <v>180000</v>
      </c>
      <c r="Z40" s="113"/>
      <c r="AA40" s="113" t="s">
        <v>105</v>
      </c>
      <c r="AB40" s="113"/>
      <c r="AC40" s="117" t="s">
        <v>123</v>
      </c>
      <c r="AD40" s="92"/>
      <c r="AE40" s="91"/>
      <c r="AF40" s="91"/>
      <c r="AG40" s="91"/>
      <c r="AH40" s="91"/>
    </row>
    <row r="41" spans="1:34" ht="12.75" customHeight="1">
      <c r="A41" s="91"/>
      <c r="B41" s="91"/>
      <c r="C41" s="92"/>
      <c r="D41" s="642" t="s">
        <v>145</v>
      </c>
      <c r="E41" s="642"/>
      <c r="F41" s="128">
        <v>14</v>
      </c>
      <c r="G41" s="642" t="s">
        <v>146</v>
      </c>
      <c r="H41" s="642"/>
      <c r="I41" s="128">
        <v>18</v>
      </c>
      <c r="J41" s="642" t="s">
        <v>147</v>
      </c>
      <c r="K41" s="642"/>
      <c r="L41" s="642"/>
      <c r="M41" s="129" t="s">
        <v>148</v>
      </c>
      <c r="N41" s="644" t="s">
        <v>143</v>
      </c>
      <c r="O41" s="644"/>
      <c r="P41" s="644"/>
      <c r="Q41" s="644"/>
      <c r="R41" s="644"/>
      <c r="S41" s="644"/>
      <c r="T41" s="92"/>
      <c r="U41" s="91"/>
      <c r="V41" s="91"/>
      <c r="W41" s="91"/>
      <c r="X41" s="92"/>
      <c r="Y41" s="118">
        <v>190000</v>
      </c>
      <c r="Z41" s="113"/>
      <c r="AA41" s="113"/>
      <c r="AB41" s="113"/>
      <c r="AC41" s="117"/>
      <c r="AD41" s="92"/>
      <c r="AE41" s="91"/>
      <c r="AF41" s="91"/>
      <c r="AG41" s="91"/>
      <c r="AH41" s="91"/>
    </row>
    <row r="42" spans="1:34" ht="12.75" customHeight="1">
      <c r="A42" s="91"/>
      <c r="B42" s="91"/>
      <c r="C42" s="92"/>
      <c r="D42" s="642" t="s">
        <v>145</v>
      </c>
      <c r="E42" s="642"/>
      <c r="F42" s="128">
        <v>18</v>
      </c>
      <c r="G42" s="642" t="s">
        <v>146</v>
      </c>
      <c r="H42" s="642"/>
      <c r="I42" s="128">
        <v>99</v>
      </c>
      <c r="J42" s="642" t="s">
        <v>147</v>
      </c>
      <c r="K42" s="642"/>
      <c r="L42" s="642"/>
      <c r="M42" s="129" t="s">
        <v>148</v>
      </c>
      <c r="N42" s="644" t="s">
        <v>144</v>
      </c>
      <c r="O42" s="644"/>
      <c r="P42" s="644"/>
      <c r="Q42" s="644"/>
      <c r="R42" s="644"/>
      <c r="S42" s="644"/>
      <c r="T42" s="92"/>
      <c r="U42" s="91"/>
      <c r="V42" s="91"/>
      <c r="W42" s="91"/>
      <c r="X42" s="92"/>
      <c r="Y42" s="118">
        <v>200000</v>
      </c>
      <c r="Z42" s="113"/>
      <c r="AA42" s="113" t="s">
        <v>106</v>
      </c>
      <c r="AB42" s="113"/>
      <c r="AC42" s="117" t="s">
        <v>124</v>
      </c>
      <c r="AD42" s="92"/>
      <c r="AE42" s="91"/>
      <c r="AF42" s="91"/>
      <c r="AG42" s="91"/>
      <c r="AH42" s="91"/>
    </row>
    <row r="43" spans="1:34" ht="15.75">
      <c r="A43" s="91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1"/>
      <c r="V43" s="91"/>
      <c r="W43" s="91"/>
      <c r="X43" s="92"/>
      <c r="Y43" s="105"/>
      <c r="Z43" s="92"/>
      <c r="AA43" s="92"/>
      <c r="AB43" s="92"/>
      <c r="AC43" s="96"/>
      <c r="AD43" s="92"/>
      <c r="AE43" s="91"/>
      <c r="AF43" s="91"/>
      <c r="AG43" s="91"/>
      <c r="AH43" s="91"/>
    </row>
    <row r="44" spans="1:34" ht="15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06"/>
      <c r="Z44" s="91"/>
      <c r="AA44" s="91"/>
      <c r="AB44" s="91"/>
      <c r="AC44" s="107"/>
      <c r="AD44" s="91"/>
      <c r="AE44" s="91"/>
      <c r="AF44" s="91"/>
      <c r="AG44" s="91"/>
      <c r="AH44" s="91"/>
    </row>
    <row r="45" spans="1:34" ht="15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06"/>
      <c r="Z45" s="91"/>
      <c r="AA45" s="91"/>
      <c r="AB45" s="91"/>
      <c r="AC45" s="107"/>
      <c r="AD45" s="91"/>
      <c r="AE45" s="91"/>
      <c r="AF45" s="91"/>
      <c r="AG45" s="91"/>
      <c r="AH45" s="91"/>
    </row>
    <row r="46" spans="1:34" ht="15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06"/>
      <c r="Z46" s="91"/>
      <c r="AA46" s="91"/>
      <c r="AB46" s="91"/>
      <c r="AC46" s="107"/>
      <c r="AD46" s="91"/>
      <c r="AE46" s="91"/>
      <c r="AF46" s="91"/>
      <c r="AG46" s="91"/>
      <c r="AH46" s="91"/>
    </row>
    <row r="47" spans="1:34" ht="15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06"/>
      <c r="Z47" s="91"/>
      <c r="AA47" s="91"/>
      <c r="AB47" s="91"/>
      <c r="AC47" s="107"/>
      <c r="AD47" s="91"/>
      <c r="AE47" s="91"/>
      <c r="AF47" s="91"/>
      <c r="AG47" s="91"/>
      <c r="AH47" s="91"/>
    </row>
    <row r="48" spans="1:34" ht="15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06"/>
      <c r="Z48" s="91"/>
      <c r="AA48" s="91"/>
      <c r="AB48" s="91"/>
      <c r="AC48" s="107"/>
      <c r="AD48" s="91"/>
      <c r="AE48" s="91"/>
      <c r="AF48" s="91"/>
      <c r="AG48" s="91"/>
      <c r="AH48" s="91"/>
    </row>
    <row r="49" spans="1:34" ht="15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06"/>
      <c r="Z49" s="91"/>
      <c r="AA49" s="91"/>
      <c r="AB49" s="91"/>
      <c r="AC49" s="107"/>
      <c r="AD49" s="91"/>
      <c r="AE49" s="91"/>
      <c r="AF49" s="91"/>
      <c r="AG49" s="91"/>
      <c r="AH49" s="91"/>
    </row>
    <row r="50" spans="1:34" ht="15.75">
      <c r="A50" s="91"/>
      <c r="B50" s="9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06"/>
      <c r="Z50" s="91"/>
      <c r="AA50" s="91"/>
      <c r="AB50" s="91"/>
      <c r="AC50" s="107"/>
      <c r="AD50" s="91"/>
      <c r="AE50" s="91"/>
      <c r="AF50" s="91"/>
      <c r="AG50" s="91"/>
      <c r="AH50" s="91"/>
    </row>
    <row r="51" spans="1:34" ht="15.75">
      <c r="A51" s="91"/>
      <c r="B51" s="91"/>
      <c r="C51" s="91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06"/>
      <c r="Z51" s="91"/>
      <c r="AA51" s="91"/>
      <c r="AB51" s="91"/>
      <c r="AC51" s="107"/>
      <c r="AD51" s="91"/>
      <c r="AE51" s="91"/>
      <c r="AF51" s="91"/>
      <c r="AG51" s="91"/>
      <c r="AH51" s="91"/>
    </row>
    <row r="52" spans="1:34" ht="15.75">
      <c r="A52" s="91"/>
      <c r="B52" s="91"/>
      <c r="C52" s="9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06"/>
      <c r="Z52" s="91"/>
      <c r="AA52" s="91"/>
      <c r="AB52" s="91"/>
      <c r="AC52" s="107"/>
      <c r="AD52" s="91"/>
      <c r="AE52" s="91"/>
      <c r="AF52" s="91"/>
      <c r="AG52" s="91"/>
      <c r="AH52" s="91"/>
    </row>
    <row r="53" spans="1:34" ht="15.75">
      <c r="A53" s="91"/>
      <c r="B53" s="91"/>
      <c r="C53" s="91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06"/>
      <c r="Z53" s="91"/>
      <c r="AA53" s="91"/>
      <c r="AB53" s="91"/>
      <c r="AC53" s="107"/>
      <c r="AD53" s="91"/>
      <c r="AE53" s="91"/>
      <c r="AF53" s="91"/>
      <c r="AG53" s="91"/>
      <c r="AH53" s="91"/>
    </row>
    <row r="54" spans="1:34" ht="15.75">
      <c r="A54" s="91"/>
      <c r="B54" s="91"/>
      <c r="C54" s="91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06"/>
      <c r="Z54" s="91"/>
      <c r="AA54" s="91"/>
      <c r="AB54" s="91"/>
      <c r="AC54" s="107"/>
      <c r="AD54" s="91"/>
      <c r="AE54" s="91"/>
      <c r="AF54" s="91"/>
      <c r="AG54" s="91"/>
      <c r="AH54" s="91"/>
    </row>
    <row r="55" spans="1:34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06"/>
      <c r="Z55" s="91"/>
      <c r="AA55" s="91"/>
      <c r="AB55" s="91"/>
      <c r="AC55" s="107"/>
      <c r="AD55" s="91"/>
      <c r="AE55" s="91"/>
      <c r="AF55" s="91"/>
      <c r="AG55" s="91"/>
      <c r="AH55" s="91"/>
    </row>
    <row r="56" spans="1:34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06"/>
      <c r="Z56" s="91"/>
      <c r="AA56" s="91"/>
      <c r="AB56" s="91"/>
      <c r="AC56" s="107"/>
      <c r="AD56" s="91"/>
      <c r="AE56" s="91"/>
      <c r="AF56" s="91"/>
      <c r="AG56" s="91"/>
      <c r="AH56" s="91"/>
    </row>
    <row r="57" spans="1:34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06"/>
      <c r="Z57" s="91"/>
      <c r="AA57" s="91"/>
      <c r="AB57" s="91"/>
      <c r="AC57" s="107"/>
      <c r="AD57" s="91"/>
      <c r="AE57" s="91"/>
      <c r="AF57" s="91"/>
      <c r="AG57" s="91"/>
      <c r="AH57" s="91"/>
    </row>
    <row r="58" spans="1:34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06"/>
      <c r="Z58" s="91"/>
      <c r="AA58" s="91"/>
      <c r="AB58" s="91"/>
      <c r="AC58" s="107"/>
      <c r="AD58" s="91"/>
      <c r="AE58" s="91"/>
      <c r="AF58" s="91"/>
      <c r="AG58" s="91"/>
      <c r="AH58" s="91"/>
    </row>
    <row r="59" spans="1:34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06"/>
      <c r="Z59" s="91"/>
      <c r="AA59" s="91"/>
      <c r="AB59" s="91"/>
      <c r="AC59" s="107"/>
      <c r="AD59" s="91"/>
      <c r="AE59" s="91"/>
      <c r="AF59" s="91"/>
      <c r="AG59" s="91"/>
      <c r="AH59" s="91"/>
    </row>
    <row r="60" spans="1:34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06"/>
      <c r="Z60" s="91"/>
      <c r="AA60" s="91"/>
      <c r="AB60" s="91"/>
      <c r="AC60" s="107"/>
      <c r="AD60" s="91"/>
      <c r="AE60" s="91"/>
      <c r="AF60" s="91"/>
      <c r="AG60" s="91"/>
      <c r="AH60" s="91"/>
    </row>
    <row r="61" spans="1:34" ht="15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106"/>
      <c r="Z61" s="91"/>
      <c r="AA61" s="91"/>
      <c r="AB61" s="91"/>
      <c r="AC61" s="107"/>
      <c r="AD61" s="91"/>
      <c r="AE61" s="91"/>
      <c r="AF61" s="91"/>
      <c r="AG61" s="91"/>
      <c r="AH61" s="91"/>
    </row>
    <row r="62" spans="1:34" ht="15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06"/>
      <c r="Z62" s="91"/>
      <c r="AA62" s="91"/>
      <c r="AB62" s="91"/>
      <c r="AC62" s="107"/>
      <c r="AD62" s="91"/>
      <c r="AE62" s="91"/>
      <c r="AF62" s="91"/>
      <c r="AG62" s="91"/>
      <c r="AH62" s="91"/>
    </row>
    <row r="63" spans="1:34" ht="15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06"/>
      <c r="Z63" s="91"/>
      <c r="AA63" s="91"/>
      <c r="AB63" s="91"/>
      <c r="AC63" s="107"/>
      <c r="AD63" s="91"/>
      <c r="AE63" s="91"/>
      <c r="AF63" s="91"/>
      <c r="AG63" s="91"/>
      <c r="AH63" s="91"/>
    </row>
    <row r="64" spans="1:34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06"/>
      <c r="Z64" s="91"/>
      <c r="AA64" s="91"/>
      <c r="AB64" s="91"/>
      <c r="AC64" s="107"/>
      <c r="AD64" s="91"/>
      <c r="AE64" s="91"/>
      <c r="AF64" s="91"/>
      <c r="AG64" s="91"/>
      <c r="AH64" s="91"/>
    </row>
    <row r="65" spans="1:34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06"/>
      <c r="Z65" s="91"/>
      <c r="AA65" s="91"/>
      <c r="AB65" s="91"/>
      <c r="AC65" s="107"/>
      <c r="AD65" s="91"/>
      <c r="AE65" s="91"/>
      <c r="AF65" s="91"/>
      <c r="AG65" s="91"/>
      <c r="AH65" s="91"/>
    </row>
  </sheetData>
  <sheetProtection password="8470" sheet="1" objects="1" scenarios="1"/>
  <mergeCells count="46">
    <mergeCell ref="N41:S41"/>
    <mergeCell ref="J32:L32"/>
    <mergeCell ref="N33:S33"/>
    <mergeCell ref="G33:H33"/>
    <mergeCell ref="N28:S28"/>
    <mergeCell ref="N29:S29"/>
    <mergeCell ref="N30:S30"/>
    <mergeCell ref="N31:S31"/>
    <mergeCell ref="N32:S32"/>
    <mergeCell ref="J28:L28"/>
    <mergeCell ref="J29:L29"/>
    <mergeCell ref="J42:L42"/>
    <mergeCell ref="D37:S38"/>
    <mergeCell ref="D35:G35"/>
    <mergeCell ref="N40:S40"/>
    <mergeCell ref="J30:L30"/>
    <mergeCell ref="J31:L31"/>
    <mergeCell ref="H35:L35"/>
    <mergeCell ref="J40:L40"/>
    <mergeCell ref="N42:S42"/>
    <mergeCell ref="D33:E33"/>
    <mergeCell ref="J33:L33"/>
    <mergeCell ref="D40:E40"/>
    <mergeCell ref="D42:E42"/>
    <mergeCell ref="D41:E41"/>
    <mergeCell ref="J41:L41"/>
    <mergeCell ref="G40:H40"/>
    <mergeCell ref="G41:H41"/>
    <mergeCell ref="G42:H42"/>
    <mergeCell ref="D28:E28"/>
    <mergeCell ref="D29:E29"/>
    <mergeCell ref="D32:E32"/>
    <mergeCell ref="G28:H28"/>
    <mergeCell ref="G29:H29"/>
    <mergeCell ref="G30:H30"/>
    <mergeCell ref="D30:E30"/>
    <mergeCell ref="D31:E31"/>
    <mergeCell ref="G32:H32"/>
    <mergeCell ref="G31:H31"/>
    <mergeCell ref="D25:S26"/>
    <mergeCell ref="D15:T15"/>
    <mergeCell ref="D3:T3"/>
    <mergeCell ref="D5:T5"/>
    <mergeCell ref="D7:T7"/>
    <mergeCell ref="D13:T13"/>
    <mergeCell ref="L9:N9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Stefan.Huter</cp:lastModifiedBy>
  <cp:lastPrinted>2024-02-25T12:12:49Z</cp:lastPrinted>
  <dcterms:created xsi:type="dcterms:W3CDTF">2002-02-14T19:05:15Z</dcterms:created>
  <dcterms:modified xsi:type="dcterms:W3CDTF">2024-02-26T16:11:54Z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