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461" windowWidth="12120" windowHeight="9120" tabRatio="865" activeTab="2"/>
  </bookViews>
  <sheets>
    <sheet name="Lizenz Nr.- Eingabe" sheetId="1" r:id="rId1"/>
    <sheet name="RB Lizene Nr.- Eingabe" sheetId="2" state="hidden" r:id="rId2"/>
    <sheet name="6er Formblatt" sheetId="3" r:id="rId3"/>
    <sheet name="Ablaufplan Fläche I" sheetId="4" r:id="rId4"/>
    <sheet name="Gesamtwertung" sheetId="5" r:id="rId5"/>
    <sheet name="Tabelle Punktspiele" sheetId="6" r:id="rId6"/>
    <sheet name="Optionen" sheetId="7" r:id="rId7"/>
  </sheets>
  <externalReferences>
    <externalReference r:id="rId10"/>
  </externalReferences>
  <definedNames>
    <definedName name="_xlnm.Print_Area" localSheetId="2">'6er Formblatt'!$B$2:$AB$50</definedName>
    <definedName name="_xlnm.Print_Area" localSheetId="4">'Gesamtwertung'!$A$1:$Y$25</definedName>
    <definedName name="_xlnm.Print_Area" localSheetId="0">'Lizenz Nr.- Eingabe'!$C$3:$AL$53</definedName>
    <definedName name="Z_1A69D1D7_7162_4F09_B915_F400607F3E2C_.wvu.Cols" localSheetId="0" hidden="1">'Lizenz Nr.- Eingabe'!$S:$S</definedName>
    <definedName name="Z_1A69D1D7_7162_4F09_B915_F400607F3E2C_.wvu.PrintArea" localSheetId="2" hidden="1">'6er Formblatt'!$C$3:$AA$47</definedName>
    <definedName name="Z_1A69D1D7_7162_4F09_B915_F400607F3E2C_.wvu.PrintArea" localSheetId="0" hidden="1">'Lizenz Nr.- Eingabe'!$C$3:$AK$51</definedName>
  </definedNames>
  <calcPr fullCalcOnLoad="1"/>
</workbook>
</file>

<file path=xl/comments1.xml><?xml version="1.0" encoding="utf-8"?>
<comments xmlns="http://schemas.openxmlformats.org/spreadsheetml/2006/main">
  <authors>
    <author>Michael Schneider</author>
  </authors>
  <commentList>
    <comment ref="D32" authorId="0">
      <text>
        <r>
          <rPr>
            <sz val="8"/>
            <rFont val="Tahoma"/>
            <family val="2"/>
          </rPr>
          <t xml:space="preserve">Wenn beide Mannschaften gleichzeitig eine </t>
        </r>
        <r>
          <rPr>
            <b/>
            <sz val="8"/>
            <rFont val="Tahoma"/>
            <family val="2"/>
          </rPr>
          <t>Rote-Karte</t>
        </r>
        <r>
          <rPr>
            <sz val="8"/>
            <rFont val="Tahoma"/>
            <family val="2"/>
          </rPr>
          <t xml:space="preserve"> bekommen, dann trage statt dem Spielergebnis für beide Mannschaften den Buchstaben 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 ein.
In der Tabellenwertung wird nun dieses Spiel für beide Mannschaften mit </t>
        </r>
        <r>
          <rPr>
            <b/>
            <sz val="8"/>
            <rFont val="Tahoma"/>
            <family val="2"/>
          </rPr>
          <t>0:5 Toren</t>
        </r>
        <r>
          <rPr>
            <sz val="8"/>
            <rFont val="Tahoma"/>
            <family val="2"/>
          </rPr>
          <t xml:space="preserve"> und </t>
        </r>
        <r>
          <rPr>
            <b/>
            <sz val="8"/>
            <rFont val="Tahoma"/>
            <family val="2"/>
          </rPr>
          <t>0:2 Punkten</t>
        </r>
        <r>
          <rPr>
            <sz val="8"/>
            <rFont val="Tahoma"/>
            <family val="2"/>
          </rPr>
          <t xml:space="preserve"> gewertet.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Schneider</author>
  </authors>
  <commentList>
    <comment ref="B2" authorId="0">
      <text>
        <r>
          <rPr>
            <b/>
            <sz val="8"/>
            <rFont val="Tahoma"/>
            <family val="2"/>
          </rPr>
          <t xml:space="preserve">Spielfolgen-Code
</t>
        </r>
        <r>
          <rPr>
            <sz val="8"/>
            <rFont val="Tahoma"/>
            <family val="2"/>
          </rPr>
          <t>In dieser Liste wird die Spielreihenfolge festgelegt. 
Die Spielreihenfolge ist veränderbar.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sz val="8"/>
            <rFont val="Tahoma"/>
            <family val="2"/>
          </rPr>
          <t xml:space="preserve">In dieser Liste werden die Spielergebnisse, mit den </t>
        </r>
        <r>
          <rPr>
            <b/>
            <sz val="8"/>
            <rFont val="Tahoma"/>
            <family val="2"/>
          </rPr>
          <t>+Toren</t>
        </r>
        <r>
          <rPr>
            <sz val="8"/>
            <rFont val="Tahoma"/>
            <family val="2"/>
          </rPr>
          <t xml:space="preserve"> als erstes, eingetragen.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Sollten beide Mannschaften eines Spiels, die Rote-Karte bekommen, wird das Spiel für </t>
        </r>
        <r>
          <rPr>
            <b/>
            <sz val="8"/>
            <rFont val="Tahoma"/>
            <family val="2"/>
          </rPr>
          <t>beide Mannschaften mit 0:5 Toren</t>
        </r>
        <r>
          <rPr>
            <sz val="8"/>
            <rFont val="Tahoma"/>
            <family val="2"/>
          </rPr>
          <t xml:space="preserve"> gewertet. Dazu wird im Spielplan statt des Spielergebnis ein  X  eingetragen.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sz val="8"/>
            <rFont val="Tahoma"/>
            <family val="2"/>
          </rPr>
          <t xml:space="preserve">Muss direkt mit  </t>
        </r>
        <r>
          <rPr>
            <b/>
            <sz val="8"/>
            <rFont val="Tahoma"/>
            <family val="2"/>
          </rPr>
          <t>=Adresse</t>
        </r>
        <r>
          <rPr>
            <sz val="8"/>
            <rFont val="Tahoma"/>
            <family val="2"/>
          </rPr>
          <t xml:space="preserve">  aus dem Spielplan geholt werden.</t>
        </r>
        <r>
          <rPr>
            <sz val="8"/>
            <rFont val="Tahoma"/>
            <family val="2"/>
          </rPr>
          <t xml:space="preserve">
</t>
        </r>
      </text>
    </comment>
    <comment ref="AE50" authorId="0">
      <text>
        <r>
          <rPr>
            <b/>
            <sz val="8"/>
            <rFont val="Tahoma"/>
            <family val="2"/>
          </rPr>
          <t xml:space="preserve">Ausgang </t>
        </r>
        <r>
          <rPr>
            <sz val="8"/>
            <rFont val="Tahoma"/>
            <family val="2"/>
          </rPr>
          <t xml:space="preserve">
Platzierungen Sortiert.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2"/>
          </rPr>
          <t>Eingang der Mannschaften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=Wiederholen(Adresse aus dem Spielplan)</t>
        </r>
        <r>
          <rPr>
            <sz val="8"/>
            <rFont val="Tahoma"/>
            <family val="2"/>
          </rPr>
          <t xml:space="preserve">
</t>
        </r>
      </text>
    </comment>
    <comment ref="L51" authorId="0">
      <text>
        <r>
          <rPr>
            <b/>
            <sz val="8"/>
            <rFont val="Tahoma"/>
            <family val="2"/>
          </rPr>
          <t xml:space="preserve">Ausgang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Unsortierte Rangfolge.</t>
        </r>
        <r>
          <rPr>
            <sz val="8"/>
            <rFont val="Tahoma"/>
            <family val="2"/>
          </rPr>
          <t xml:space="preserve">
</t>
        </r>
      </text>
    </comment>
    <comment ref="AE51" authorId="0">
      <text>
        <r>
          <rPr>
            <sz val="8"/>
            <rFont val="Tahoma"/>
            <family val="2"/>
          </rPr>
          <t xml:space="preserve">Die Platzierung im Spielplan nur dann Eintragen lassen, wenn eine Punktzahl vorhanden ist.
     </t>
        </r>
        <r>
          <rPr>
            <b/>
            <sz val="8"/>
            <rFont val="Tahoma"/>
            <family val="2"/>
          </rPr>
          <t>Wenn= Istzahl 
      Dann= Wiederholen 
    Sonnst= ""</t>
        </r>
        <r>
          <rPr>
            <sz val="8"/>
            <rFont val="Tahoma"/>
            <family val="2"/>
          </rPr>
          <t xml:space="preserve">
</t>
        </r>
      </text>
    </comment>
    <comment ref="BB60" authorId="0">
      <text>
        <r>
          <rPr>
            <b/>
            <sz val="8"/>
            <rFont val="Tahoma"/>
            <family val="2"/>
          </rPr>
          <t>Michael Schneider:</t>
        </r>
        <r>
          <rPr>
            <sz val="8"/>
            <rFont val="Tahoma"/>
            <family val="2"/>
          </rPr>
          <t xml:space="preserve">
Dies ist eine Fix-Zeit und darf nict geändert werden.</t>
        </r>
      </text>
    </comment>
    <comment ref="BB61" authorId="0">
      <text>
        <r>
          <rPr>
            <sz val="8"/>
            <rFont val="Tahoma"/>
            <family val="2"/>
          </rPr>
          <t xml:space="preserve">Das Ergebnis der Zeitberechnung im Spielplan nur dann Eintragen lassen: Wenn die </t>
        </r>
        <r>
          <rPr>
            <b/>
            <sz val="8"/>
            <rFont val="Tahoma"/>
            <family val="2"/>
          </rPr>
          <t>3. Mannschaft</t>
        </r>
        <r>
          <rPr>
            <sz val="8"/>
            <rFont val="Tahoma"/>
            <family val="2"/>
          </rPr>
          <t xml:space="preserve"> und die </t>
        </r>
        <r>
          <rPr>
            <b/>
            <sz val="8"/>
            <rFont val="Tahoma"/>
            <family val="2"/>
          </rPr>
          <t>Spielzeit</t>
        </r>
        <r>
          <rPr>
            <sz val="8"/>
            <rFont val="Tahoma"/>
            <family val="2"/>
          </rPr>
          <t xml:space="preserve"> (zb.7 Min.) eingetragen ist.</t>
        </r>
      </text>
    </comment>
  </commentList>
</comments>
</file>

<file path=xl/sharedStrings.xml><?xml version="1.0" encoding="utf-8"?>
<sst xmlns="http://schemas.openxmlformats.org/spreadsheetml/2006/main" count="579" uniqueCount="210">
  <si>
    <t>Ergeb.</t>
  </si>
  <si>
    <t>Code</t>
  </si>
  <si>
    <t>Mannschaften</t>
  </si>
  <si>
    <t>Filter</t>
  </si>
  <si>
    <t>T+</t>
  </si>
  <si>
    <t>T-</t>
  </si>
  <si>
    <t>P+</t>
  </si>
  <si>
    <t>P-</t>
  </si>
  <si>
    <t>Mannsch.</t>
  </si>
  <si>
    <t>Tore</t>
  </si>
  <si>
    <t>Punkte</t>
  </si>
  <si>
    <t>Platz</t>
  </si>
  <si>
    <t>Rang</t>
  </si>
  <si>
    <t>Schriftführer: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</si>
  <si>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</si>
  <si>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</si>
  <si>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</si>
  <si>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</si>
  <si>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</si>
  <si>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</si>
  <si>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</si>
  <si>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</si>
  <si>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</si>
  <si>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</si>
  <si>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</si>
  <si>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</si>
  <si>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</si>
  <si>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</si>
  <si>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</si>
  <si>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</si>
  <si>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</si>
  <si>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</si>
  <si>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</si>
  <si>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</si>
  <si>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</si>
  <si>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</si>
  <si>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</si>
  <si>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</si>
  <si>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</si>
  <si>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</si>
  <si>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</si>
  <si>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</si>
  <si>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</si>
  <si>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Spielfolge</t>
  </si>
  <si>
    <t>Min.</t>
  </si>
  <si>
    <t>Verein</t>
  </si>
  <si>
    <t>Name, Vorname</t>
  </si>
  <si>
    <t>Geb. Dat</t>
  </si>
  <si>
    <t xml:space="preserve">Name,                       Vorname                                                                                                           Telefon                                          Unterschrift     </t>
  </si>
  <si>
    <t>Spielfolgen-Code          3 bis 10 Mannschaften</t>
  </si>
  <si>
    <t>Spielreihenfolge</t>
  </si>
  <si>
    <t>Spielergebnisse mit gedrehter Vorsortierung und ( X - Berücksichtigung)</t>
  </si>
  <si>
    <t>Rangfolge: unsotiert</t>
  </si>
  <si>
    <t>Rangfolge: sortiert</t>
  </si>
  <si>
    <t>Mannsch</t>
  </si>
  <si>
    <t>Optionen</t>
  </si>
  <si>
    <t>NR.</t>
  </si>
  <si>
    <t>Tabwert</t>
  </si>
  <si>
    <t>Zähler</t>
  </si>
  <si>
    <t>Spielzeitb.</t>
  </si>
  <si>
    <t>Spielpausen - Zeit =</t>
  </si>
  <si>
    <t>Anzahl der Spiele =</t>
  </si>
  <si>
    <t>Beginn der Spiele =</t>
  </si>
  <si>
    <t>Ende der Spiele =</t>
  </si>
  <si>
    <t>Spiel-Zeit in Min. =</t>
  </si>
  <si>
    <t>Spielzeit Übersetzer :</t>
  </si>
  <si>
    <t>Datenfeld zur sortierung (nur Rechenblock)</t>
  </si>
  <si>
    <t xml:space="preserve"> </t>
  </si>
  <si>
    <t>Name</t>
  </si>
  <si>
    <t>Vorname</t>
  </si>
  <si>
    <t>Eingabe</t>
  </si>
  <si>
    <t>Punkte-System=</t>
  </si>
  <si>
    <t>Teilnehmende Mannschaften:</t>
  </si>
  <si>
    <t>Beginn:</t>
  </si>
  <si>
    <t>Spielfolge: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</si>
  <si>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</si>
  <si>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</si>
  <si>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</si>
  <si>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</si>
  <si>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</si>
  <si>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</si>
  <si>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</si>
  <si>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</si>
  <si>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</si>
  <si>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Uhr</t>
  </si>
  <si>
    <t>-</t>
  </si>
  <si>
    <t>Mit dieser Schaltfläche ist es möglich die</t>
  </si>
  <si>
    <r>
      <t xml:space="preserve">auf das  </t>
    </r>
    <r>
      <rPr>
        <b/>
        <sz val="12"/>
        <color indexed="10"/>
        <rFont val="Times New Roman"/>
        <family val="1"/>
      </rPr>
      <t xml:space="preserve">3-Punktesystem  </t>
    </r>
    <r>
      <rPr>
        <b/>
        <sz val="12"/>
        <rFont val="Times New Roman"/>
        <family val="1"/>
      </rPr>
      <t>umzuschalten.</t>
    </r>
  </si>
  <si>
    <r>
      <t xml:space="preserve">Platzierungsberechnung vom  </t>
    </r>
    <r>
      <rPr>
        <b/>
        <sz val="12"/>
        <color indexed="10"/>
        <rFont val="Times New Roman"/>
        <family val="1"/>
      </rPr>
      <t>2-Punktesystem</t>
    </r>
    <r>
      <rPr>
        <b/>
        <sz val="12"/>
        <rFont val="Times New Roman"/>
        <family val="1"/>
      </rPr>
      <t xml:space="preserve">  </t>
    </r>
  </si>
  <si>
    <t>BAD</t>
  </si>
  <si>
    <t>BAY</t>
  </si>
  <si>
    <t>BER</t>
  </si>
  <si>
    <t>BRA</t>
  </si>
  <si>
    <t>BRE</t>
  </si>
  <si>
    <t>HAM</t>
  </si>
  <si>
    <t>HES</t>
  </si>
  <si>
    <t>MEV</t>
  </si>
  <si>
    <t>NDS</t>
  </si>
  <si>
    <t>NRW</t>
  </si>
  <si>
    <t>RLP</t>
  </si>
  <si>
    <t>SAR</t>
  </si>
  <si>
    <t>SAC</t>
  </si>
  <si>
    <t>SAH</t>
  </si>
  <si>
    <t>SÜB</t>
  </si>
  <si>
    <t>THÜ</t>
  </si>
  <si>
    <t>WTB</t>
  </si>
  <si>
    <t>RKB</t>
  </si>
  <si>
    <t>Baden</t>
  </si>
  <si>
    <t>Bayern</t>
  </si>
  <si>
    <t>Berlin</t>
  </si>
  <si>
    <t>Bremen</t>
  </si>
  <si>
    <t>Hamburg</t>
  </si>
  <si>
    <t>Hessen</t>
  </si>
  <si>
    <t>Niedersachsen</t>
  </si>
  <si>
    <t>Nordrhein Westfalen</t>
  </si>
  <si>
    <t>Rheinland Pfalz</t>
  </si>
  <si>
    <t>Saarland</t>
  </si>
  <si>
    <t>Sachsen</t>
  </si>
  <si>
    <t>Berlin / Brandenburg</t>
  </si>
  <si>
    <t>Meklernburg / Vorpommern</t>
  </si>
  <si>
    <t>Sachsen / Anhalt</t>
  </si>
  <si>
    <t>Südbaden</t>
  </si>
  <si>
    <t>Thüringen</t>
  </si>
  <si>
    <t>Württenberg</t>
  </si>
  <si>
    <t>RKB Solidarität</t>
  </si>
  <si>
    <t>LV.</t>
  </si>
  <si>
    <t>LZ</t>
  </si>
  <si>
    <t>SZ</t>
  </si>
  <si>
    <t xml:space="preserve"> / </t>
  </si>
  <si>
    <t>Verkettung ( Lizenz Nr.- Eingabe )</t>
  </si>
  <si>
    <t>Option =</t>
  </si>
  <si>
    <t>Daten aus dem Blatt  "Lizenz Nr.- Eingabe"</t>
  </si>
  <si>
    <t>Daten aus Blatt  "Hand - Eingabe"</t>
  </si>
  <si>
    <t>Verkettung  "Hand - Eingabe"</t>
  </si>
  <si>
    <t>Radball</t>
  </si>
  <si>
    <t>Schüler C</t>
  </si>
  <si>
    <t>Schüler B</t>
  </si>
  <si>
    <t>Schüler A</t>
  </si>
  <si>
    <t>Jugend</t>
  </si>
  <si>
    <t>Junioren</t>
  </si>
  <si>
    <t>Elite</t>
  </si>
  <si>
    <t>Radpolo</t>
  </si>
  <si>
    <t>Schülerinnen</t>
  </si>
  <si>
    <t>Juniorinnen</t>
  </si>
  <si>
    <t>Frauen</t>
  </si>
  <si>
    <t>von</t>
  </si>
  <si>
    <t>bis</t>
  </si>
  <si>
    <t>Jahren</t>
  </si>
  <si>
    <t>=</t>
  </si>
  <si>
    <t xml:space="preserve">Stichtag : </t>
  </si>
  <si>
    <t>Formblatt Übertragen wird.</t>
  </si>
  <si>
    <t xml:space="preserve">Wähle hier von wo aus die Einträge in das </t>
  </si>
  <si>
    <r>
      <t>Spielzeit: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  x</t>
    </r>
  </si>
  <si>
    <t>Arbeitsgemeinschaft BDR/RKB</t>
  </si>
  <si>
    <t>Kommissär:</t>
  </si>
  <si>
    <t>Chief-Kommissär:</t>
  </si>
  <si>
    <t>Beginn</t>
  </si>
  <si>
    <t>Spielberichtsbogen Radball</t>
  </si>
  <si>
    <t>Bund Deutscher</t>
  </si>
  <si>
    <t>Radball/Radpolo</t>
  </si>
  <si>
    <t>Radfahrer e.V.</t>
  </si>
  <si>
    <r>
      <t xml:space="preserve">Vorkommnisse:  </t>
    </r>
    <r>
      <rPr>
        <b/>
        <sz val="8"/>
        <rFont val="Arial"/>
        <family val="2"/>
      </rPr>
      <t>Bitte Rückseite verwenden</t>
    </r>
  </si>
  <si>
    <t>/</t>
  </si>
  <si>
    <t>10.00</t>
  </si>
  <si>
    <t>Mannschaft</t>
  </si>
  <si>
    <t>Meisterschaft</t>
  </si>
  <si>
    <t>Rangziffer</t>
  </si>
  <si>
    <t>RaziffPspiele</t>
  </si>
  <si>
    <t>Ges.Raziff.</t>
  </si>
  <si>
    <t>Bilshausen I</t>
  </si>
  <si>
    <t xml:space="preserve">Ort: </t>
  </si>
  <si>
    <t>UCI - ID</t>
  </si>
  <si>
    <t xml:space="preserve">Tel.:  </t>
  </si>
  <si>
    <t>U13</t>
  </si>
  <si>
    <t>37434 Bilshausen</t>
  </si>
  <si>
    <t>Veranstalter: RV Möve Bilshausen</t>
  </si>
  <si>
    <t>Franz Josef Adler</t>
  </si>
  <si>
    <t>Feldstraße 12, 37434 Bilshausen</t>
  </si>
  <si>
    <t>Tel. 05528 3075</t>
  </si>
  <si>
    <t>Halle: Carl-Strüber Sporthalle</t>
  </si>
  <si>
    <t>Sandweg 80</t>
  </si>
  <si>
    <t>NDS-Meisterschaft Radball U-13</t>
  </si>
  <si>
    <t>Bilshausen II</t>
  </si>
  <si>
    <t>U-13</t>
  </si>
  <si>
    <t>Fläche I</t>
  </si>
  <si>
    <t>Obernfeld I</t>
  </si>
  <si>
    <t>Obernfeld II</t>
  </si>
  <si>
    <t>Spiele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</si>
  <si>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</si>
  <si>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</si>
  <si>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</si>
  <si>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</si>
  <si>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</si>
  <si>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Die vier erstplatzierten Mannschaften qualifizieren sich für das 1/4 Finale zur DM am 20.04.2024</t>
  </si>
  <si>
    <t>Datum: 25.02.2024</t>
  </si>
  <si>
    <t>Tabelle Radball U13 nach dem 6. Spieltag</t>
  </si>
  <si>
    <t>Diff.</t>
  </si>
  <si>
    <t>RVS Obernfeld I U13</t>
  </si>
  <si>
    <t>RVM Bilshausen II U13</t>
  </si>
  <si>
    <t>RVS Obernfeld II U13</t>
  </si>
  <si>
    <t>RSVL Gifhorn I U13</t>
  </si>
  <si>
    <t>RCG Hahndorf I U13</t>
  </si>
  <si>
    <t>Gifhorn I</t>
  </si>
  <si>
    <t>Hahndorf I</t>
  </si>
  <si>
    <t>Niedersachsenmeisterschaft 2024</t>
  </si>
  <si>
    <t>U19</t>
  </si>
  <si>
    <t>Oberneuland I</t>
  </si>
  <si>
    <t>Warfleth I</t>
  </si>
  <si>
    <t>NDS 1 und 3 spielen in NDS       Obernfeld I und Obernfeld II</t>
  </si>
  <si>
    <t xml:space="preserve">NDS 2 und 4 spielen in MEV       Bilshausen II und Gifhorn I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</si>
</sst>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yy"/>
    <numFmt numFmtId="166" formatCode="\+0;\-0"/>
    <numFmt numFmtId="167" formatCode="\+\ 0;\-\ 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Comic Sans MS"/>
      <family val="4"/>
    </font>
    <font>
      <sz val="7"/>
      <name val="Arial"/>
      <family val="2"/>
    </font>
    <font>
      <sz val="7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u val="single"/>
      <sz val="18"/>
      <name val="Times New Roman"/>
      <family val="1"/>
    </font>
    <font>
      <b/>
      <i/>
      <sz val="14"/>
      <name val="Benguiat Bk BT"/>
      <family val="1"/>
    </font>
    <font>
      <b/>
      <sz val="13"/>
      <name val="Arial Narrow"/>
      <family val="2"/>
    </font>
    <font>
      <sz val="11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2"/>
      <name val="Arial Narrow"/>
      <family val="2"/>
    </font>
    <font>
      <b/>
      <sz val="22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u val="single"/>
      <sz val="8"/>
      <name val="Tahoma"/>
      <family val="2"/>
    </font>
    <font>
      <b/>
      <u val="single"/>
      <sz val="18"/>
      <name val="Tahoma"/>
      <family val="2"/>
    </font>
    <font>
      <sz val="14"/>
      <name val="Arial"/>
      <family val="2"/>
    </font>
    <font>
      <sz val="12"/>
      <name val="Tahoma"/>
      <family val="2"/>
    </font>
    <font>
      <sz val="1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5" borderId="2" applyNumberFormat="0" applyAlignment="0" applyProtection="0"/>
    <xf numFmtId="41" fontId="0" fillId="0" borderId="0" applyFont="0" applyFill="0" applyBorder="0" applyAlignment="0" applyProtection="0"/>
    <xf numFmtId="0" fontId="80" fillId="2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7" borderId="0" applyNumberFormat="0" applyBorder="0" applyAlignment="0" applyProtection="0"/>
    <xf numFmtId="43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58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1" borderId="9" applyNumberFormat="0" applyAlignment="0" applyProtection="0"/>
  </cellStyleXfs>
  <cellXfs count="6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0" fontId="0" fillId="0" borderId="0" xfId="0" applyNumberFormat="1" applyBorder="1" applyAlignment="1" applyProtection="1">
      <alignment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10" borderId="17" xfId="0" applyFont="1" applyFill="1" applyBorder="1" applyAlignment="1" applyProtection="1">
      <alignment horizontal="center" vertical="top"/>
      <protection hidden="1"/>
    </xf>
    <xf numFmtId="0" fontId="12" fillId="10" borderId="18" xfId="0" applyFont="1" applyFill="1" applyBorder="1" applyAlignment="1" applyProtection="1">
      <alignment horizontal="left" vertical="top"/>
      <protection hidden="1"/>
    </xf>
    <xf numFmtId="0" fontId="12" fillId="10" borderId="20" xfId="0" applyFont="1" applyFill="1" applyBorder="1" applyAlignment="1" applyProtection="1">
      <alignment horizontal="left" vertical="top"/>
      <protection hidden="1"/>
    </xf>
    <xf numFmtId="0" fontId="12" fillId="10" borderId="17" xfId="0" applyFont="1" applyFill="1" applyBorder="1" applyAlignment="1" applyProtection="1">
      <alignment horizontal="left" vertical="top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10" borderId="11" xfId="0" applyFont="1" applyFill="1" applyBorder="1" applyAlignment="1" applyProtection="1">
      <alignment horizontal="center" vertical="top"/>
      <protection hidden="1"/>
    </xf>
    <xf numFmtId="0" fontId="12" fillId="10" borderId="24" xfId="0" applyFont="1" applyFill="1" applyBorder="1" applyAlignment="1" applyProtection="1">
      <alignment horizontal="center" vertical="top"/>
      <protection hidden="1"/>
    </xf>
    <xf numFmtId="0" fontId="12" fillId="32" borderId="23" xfId="0" applyFont="1" applyFill="1" applyBorder="1" applyAlignment="1" applyProtection="1">
      <alignment horizontal="center" vertical="top"/>
      <protection hidden="1"/>
    </xf>
    <xf numFmtId="0" fontId="12" fillId="32" borderId="25" xfId="0" applyFont="1" applyFill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33" borderId="27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33" borderId="21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10" borderId="30" xfId="0" applyFont="1" applyFill="1" applyBorder="1" applyAlignment="1" applyProtection="1">
      <alignment horizontal="center" vertical="top"/>
      <protection hidden="1"/>
    </xf>
    <xf numFmtId="0" fontId="12" fillId="10" borderId="31" xfId="0" applyFont="1" applyFill="1" applyBorder="1" applyAlignment="1" applyProtection="1">
      <alignment horizontal="center" vertical="top"/>
      <protection hidden="1"/>
    </xf>
    <xf numFmtId="0" fontId="12" fillId="10" borderId="31" xfId="0" applyFont="1" applyFill="1" applyBorder="1" applyAlignment="1" applyProtection="1">
      <alignment horizontal="left" vertical="top"/>
      <protection hidden="1"/>
    </xf>
    <xf numFmtId="0" fontId="12" fillId="32" borderId="30" xfId="0" applyFont="1" applyFill="1" applyBorder="1" applyAlignment="1" applyProtection="1">
      <alignment horizontal="center" vertical="top"/>
      <protection hidden="1"/>
    </xf>
    <xf numFmtId="0" fontId="12" fillId="32" borderId="31" xfId="0" applyFont="1" applyFill="1" applyBorder="1" applyAlignment="1" applyProtection="1">
      <alignment horizontal="center" vertical="top"/>
      <protection hidden="1"/>
    </xf>
    <xf numFmtId="0" fontId="12" fillId="33" borderId="30" xfId="0" applyFont="1" applyFill="1" applyBorder="1" applyAlignment="1" applyProtection="1">
      <alignment horizontal="center" vertical="center"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2" fillId="10" borderId="12" xfId="0" applyFont="1" applyFill="1" applyBorder="1" applyAlignment="1" applyProtection="1">
      <alignment horizontal="center" vertical="top"/>
      <protection hidden="1"/>
    </xf>
    <xf numFmtId="0" fontId="12" fillId="10" borderId="33" xfId="0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10" borderId="36" xfId="0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10" borderId="37" xfId="0" applyFont="1" applyFill="1" applyBorder="1" applyAlignment="1" applyProtection="1">
      <alignment horizontal="center" vertical="top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32" borderId="12" xfId="0" applyFont="1" applyFill="1" applyBorder="1" applyAlignment="1" applyProtection="1">
      <alignment horizontal="center" vertical="top"/>
      <protection hidden="1"/>
    </xf>
    <xf numFmtId="0" fontId="12" fillId="32" borderId="33" xfId="0" applyFont="1" applyFill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2" fillId="34" borderId="45" xfId="0" applyFont="1" applyFill="1" applyBorder="1" applyAlignment="1">
      <alignment/>
    </xf>
    <xf numFmtId="0" fontId="25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0" fillId="33" borderId="0" xfId="0" applyFill="1" applyAlignment="1">
      <alignment/>
    </xf>
    <xf numFmtId="0" fontId="23" fillId="34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34" borderId="0" xfId="0" applyFont="1" applyFill="1" applyAlignment="1">
      <alignment horizontal="right"/>
    </xf>
    <xf numFmtId="0" fontId="22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 horizontal="right"/>
      <protection locked="0"/>
    </xf>
    <xf numFmtId="0" fontId="23" fillId="34" borderId="0" xfId="0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left" vertical="center"/>
      <protection locked="0"/>
    </xf>
    <xf numFmtId="0" fontId="26" fillId="34" borderId="0" xfId="0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right" vertical="center"/>
      <protection locked="0"/>
    </xf>
    <xf numFmtId="0" fontId="25" fillId="34" borderId="0" xfId="0" applyFont="1" applyFill="1" applyAlignment="1" applyProtection="1">
      <alignment/>
      <protection locked="0"/>
    </xf>
    <xf numFmtId="0" fontId="22" fillId="34" borderId="0" xfId="0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34" borderId="0" xfId="0" applyFont="1" applyFill="1" applyAlignment="1" applyProtection="1">
      <alignment horizontal="center"/>
      <protection locked="0"/>
    </xf>
    <xf numFmtId="49" fontId="26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2" fillId="34" borderId="0" xfId="0" applyFont="1" applyFill="1" applyAlignment="1" applyProtection="1">
      <alignment/>
      <protection locked="0"/>
    </xf>
    <xf numFmtId="0" fontId="15" fillId="0" borderId="0" xfId="0" applyFont="1" applyAlignment="1">
      <alignment/>
    </xf>
    <xf numFmtId="0" fontId="5" fillId="0" borderId="46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29" fillId="34" borderId="0" xfId="0" applyFont="1" applyFill="1" applyAlignment="1" applyProtection="1">
      <alignment/>
      <protection locked="0"/>
    </xf>
    <xf numFmtId="0" fontId="24" fillId="34" borderId="45" xfId="0" applyFont="1" applyFill="1" applyBorder="1" applyAlignment="1" applyProtection="1">
      <alignment/>
      <protection locked="0"/>
    </xf>
    <xf numFmtId="0" fontId="22" fillId="34" borderId="45" xfId="0" applyFont="1" applyFill="1" applyBorder="1" applyAlignment="1" applyProtection="1">
      <alignment/>
      <protection locked="0"/>
    </xf>
    <xf numFmtId="0" fontId="26" fillId="34" borderId="45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23" fillId="34" borderId="0" xfId="0" applyFont="1" applyFill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left"/>
      <protection locked="0"/>
    </xf>
    <xf numFmtId="0" fontId="49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22" fillId="34" borderId="47" xfId="0" applyFont="1" applyFill="1" applyBorder="1" applyAlignment="1" applyProtection="1">
      <alignment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center" vertical="center"/>
      <protection locked="0"/>
    </xf>
    <xf numFmtId="0" fontId="45" fillId="34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 horizontal="center"/>
      <protection locked="0"/>
    </xf>
    <xf numFmtId="0" fontId="46" fillId="34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right"/>
      <protection locked="0"/>
    </xf>
    <xf numFmtId="0" fontId="33" fillId="34" borderId="0" xfId="0" applyFont="1" applyFill="1" applyAlignment="1" applyProtection="1">
      <alignment/>
      <protection locked="0"/>
    </xf>
    <xf numFmtId="0" fontId="34" fillId="34" borderId="48" xfId="0" applyFont="1" applyFill="1" applyBorder="1" applyAlignment="1" applyProtection="1">
      <alignment horizontal="center"/>
      <protection locked="0"/>
    </xf>
    <xf numFmtId="0" fontId="36" fillId="34" borderId="48" xfId="0" applyFont="1" applyFill="1" applyBorder="1" applyAlignment="1" applyProtection="1">
      <alignment horizontal="center"/>
      <protection locked="0"/>
    </xf>
    <xf numFmtId="0" fontId="22" fillId="34" borderId="40" xfId="0" applyFont="1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22" fillId="34" borderId="49" xfId="0" applyFont="1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19" fillId="34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30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53" fillId="34" borderId="0" xfId="0" applyFont="1" applyFill="1" applyAlignment="1" applyProtection="1">
      <alignment/>
      <protection locked="0"/>
    </xf>
    <xf numFmtId="0" fontId="39" fillId="34" borderId="0" xfId="0" applyFont="1" applyFill="1" applyAlignment="1" applyProtection="1">
      <alignment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15" fillId="34" borderId="0" xfId="0" applyFont="1" applyFill="1" applyAlignment="1" applyProtection="1">
      <alignment/>
      <protection locked="0"/>
    </xf>
    <xf numFmtId="0" fontId="5" fillId="34" borderId="47" xfId="0" applyFon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7" fillId="34" borderId="5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vertical="top"/>
      <protection locked="0"/>
    </xf>
    <xf numFmtId="0" fontId="7" fillId="34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17" fillId="34" borderId="0" xfId="0" applyFont="1" applyFill="1" applyAlignment="1" applyProtection="1">
      <alignment/>
      <protection locked="0"/>
    </xf>
    <xf numFmtId="16" fontId="17" fillId="34" borderId="0" xfId="0" applyNumberFormat="1" applyFont="1" applyFill="1" applyAlignment="1" applyProtection="1">
      <alignment/>
      <protection locked="0"/>
    </xf>
    <xf numFmtId="0" fontId="57" fillId="34" borderId="0" xfId="0" applyFont="1" applyFill="1" applyAlignment="1" applyProtection="1">
      <alignment/>
      <protection locked="0"/>
    </xf>
    <xf numFmtId="0" fontId="56" fillId="0" borderId="0" xfId="5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167" fontId="55" fillId="0" borderId="0" xfId="51" applyNumberFormat="1" applyFont="1" applyFill="1" applyBorder="1" applyAlignment="1">
      <alignment horizontal="center"/>
      <protection/>
    </xf>
    <xf numFmtId="0" fontId="35" fillId="0" borderId="2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35" fillId="0" borderId="2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3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33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/>
    </xf>
    <xf numFmtId="0" fontId="35" fillId="0" borderId="3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left"/>
    </xf>
    <xf numFmtId="0" fontId="35" fillId="0" borderId="14" xfId="0" applyFont="1" applyFill="1" applyBorder="1" applyAlignment="1">
      <alignment/>
    </xf>
    <xf numFmtId="0" fontId="35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50" xfId="0" applyFont="1" applyFill="1" applyBorder="1" applyAlignment="1">
      <alignment horizontal="center"/>
    </xf>
    <xf numFmtId="0" fontId="35" fillId="0" borderId="50" xfId="0" applyFont="1" applyFill="1" applyBorder="1" applyAlignment="1">
      <alignment/>
    </xf>
    <xf numFmtId="0" fontId="35" fillId="0" borderId="54" xfId="0" applyFont="1" applyFill="1" applyBorder="1" applyAlignment="1">
      <alignment/>
    </xf>
    <xf numFmtId="0" fontId="35" fillId="0" borderId="55" xfId="0" applyFont="1" applyFill="1" applyBorder="1" applyAlignment="1">
      <alignment/>
    </xf>
    <xf numFmtId="0" fontId="35" fillId="0" borderId="56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1" fillId="35" borderId="0" xfId="0" applyFont="1" applyFill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1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42" fillId="35" borderId="0" xfId="0" applyFont="1" applyFill="1" applyAlignment="1" applyProtection="1">
      <alignment/>
      <protection locked="0"/>
    </xf>
    <xf numFmtId="0" fontId="42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39" fillId="35" borderId="0" xfId="0" applyFont="1" applyFill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39" fillId="35" borderId="0" xfId="0" applyFont="1" applyFill="1" applyBorder="1" applyAlignment="1" applyProtection="1">
      <alignment horizontal="center"/>
      <protection locked="0"/>
    </xf>
    <xf numFmtId="0" fontId="29" fillId="35" borderId="0" xfId="0" applyFont="1" applyFill="1" applyBorder="1" applyAlignment="1" applyProtection="1">
      <alignment horizontal="center"/>
      <protection locked="0"/>
    </xf>
    <xf numFmtId="0" fontId="52" fillId="35" borderId="0" xfId="0" applyFont="1" applyFill="1" applyBorder="1" applyAlignment="1" applyProtection="1">
      <alignment horizontal="left"/>
      <protection locked="0"/>
    </xf>
    <xf numFmtId="0" fontId="52" fillId="35" borderId="0" xfId="0" applyFont="1" applyFill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39" fillId="35" borderId="0" xfId="0" applyFont="1" applyFill="1" applyAlignment="1" applyProtection="1">
      <alignment horizontal="left"/>
      <protection locked="0"/>
    </xf>
    <xf numFmtId="0" fontId="29" fillId="35" borderId="0" xfId="0" applyFont="1" applyFill="1" applyAlignment="1" applyProtection="1">
      <alignment horizontal="left"/>
      <protection locked="0"/>
    </xf>
    <xf numFmtId="0" fontId="29" fillId="35" borderId="0" xfId="0" applyFont="1" applyFill="1" applyAlignment="1" applyProtection="1">
      <alignment/>
      <protection locked="0"/>
    </xf>
    <xf numFmtId="0" fontId="52" fillId="35" borderId="0" xfId="0" applyFont="1" applyFill="1" applyAlignment="1" applyProtection="1">
      <alignment horizontal="center"/>
      <protection locked="0"/>
    </xf>
    <xf numFmtId="49" fontId="39" fillId="35" borderId="0" xfId="0" applyNumberFormat="1" applyFont="1" applyFill="1" applyAlignment="1" applyProtection="1">
      <alignment horizontal="right"/>
      <protection locked="0"/>
    </xf>
    <xf numFmtId="0" fontId="39" fillId="35" borderId="0" xfId="0" applyFont="1" applyFill="1" applyAlignment="1" applyProtection="1">
      <alignment/>
      <protection locked="0"/>
    </xf>
    <xf numFmtId="0" fontId="50" fillId="35" borderId="0" xfId="0" applyFont="1" applyFill="1" applyAlignment="1" applyProtection="1">
      <alignment/>
      <protection locked="0"/>
    </xf>
    <xf numFmtId="0" fontId="29" fillId="35" borderId="0" xfId="0" applyFont="1" applyFill="1" applyAlignment="1" applyProtection="1">
      <alignment/>
      <protection locked="0"/>
    </xf>
    <xf numFmtId="0" fontId="7" fillId="0" borderId="57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0" fillId="0" borderId="0" xfId="0" applyBorder="1" applyAlignment="1">
      <alignment/>
    </xf>
    <xf numFmtId="0" fontId="56" fillId="0" borderId="0" xfId="51" applyFont="1" applyFill="1" applyBorder="1" applyAlignment="1">
      <alignment horizontal="left"/>
      <protection/>
    </xf>
    <xf numFmtId="0" fontId="55" fillId="0" borderId="0" xfId="51" applyFont="1" applyFill="1" applyBorder="1" applyAlignment="1">
      <alignment horizontal="left"/>
      <protection/>
    </xf>
    <xf numFmtId="0" fontId="58" fillId="0" borderId="0" xfId="51" applyFont="1" applyFill="1" applyBorder="1" applyAlignment="1">
      <alignment horizontal="center"/>
      <protection/>
    </xf>
    <xf numFmtId="0" fontId="58" fillId="0" borderId="0" xfId="51" applyFont="1" applyFill="1" applyBorder="1" applyAlignment="1">
      <alignment horizontal="left"/>
      <protection/>
    </xf>
    <xf numFmtId="0" fontId="58" fillId="0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0" xfId="0" applyFont="1" applyAlignment="1">
      <alignment/>
    </xf>
    <xf numFmtId="0" fontId="11" fillId="34" borderId="0" xfId="0" applyFont="1" applyFill="1" applyAlignment="1" applyProtection="1">
      <alignment horizontal="right"/>
      <protection locked="0"/>
    </xf>
    <xf numFmtId="0" fontId="7" fillId="34" borderId="52" xfId="0" applyFont="1" applyFill="1" applyBorder="1" applyAlignment="1" applyProtection="1">
      <alignment horizontal="right" vertical="center"/>
      <protection locked="0"/>
    </xf>
    <xf numFmtId="0" fontId="7" fillId="34" borderId="52" xfId="0" applyFont="1" applyFill="1" applyBorder="1" applyAlignment="1" applyProtection="1">
      <alignment horizontal="left" vertical="center"/>
      <protection locked="0"/>
    </xf>
    <xf numFmtId="0" fontId="7" fillId="34" borderId="58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/>
      <protection locked="0"/>
    </xf>
    <xf numFmtId="0" fontId="39" fillId="34" borderId="14" xfId="0" applyFont="1" applyFill="1" applyBorder="1" applyAlignment="1" applyProtection="1">
      <alignment horizontal="center" vertical="center"/>
      <protection locked="0"/>
    </xf>
    <xf numFmtId="0" fontId="39" fillId="34" borderId="47" xfId="0" applyFont="1" applyFill="1" applyBorder="1" applyAlignment="1" applyProtection="1">
      <alignment horizontal="center" vertical="center"/>
      <protection locked="0"/>
    </xf>
    <xf numFmtId="0" fontId="43" fillId="34" borderId="52" xfId="0" applyFont="1" applyFill="1" applyBorder="1" applyAlignment="1" applyProtection="1">
      <alignment vertical="center"/>
      <protection locked="0"/>
    </xf>
    <xf numFmtId="0" fontId="7" fillId="34" borderId="45" xfId="0" applyFont="1" applyFill="1" applyBorder="1" applyAlignment="1" applyProtection="1">
      <alignment horizontal="left" vertical="center"/>
      <protection locked="0"/>
    </xf>
    <xf numFmtId="0" fontId="7" fillId="34" borderId="59" xfId="0" applyFont="1" applyFill="1" applyBorder="1" applyAlignment="1" applyProtection="1">
      <alignment horizontal="left" vertical="center"/>
      <protection locked="0"/>
    </xf>
    <xf numFmtId="0" fontId="54" fillId="34" borderId="45" xfId="0" applyFont="1" applyFill="1" applyBorder="1" applyAlignment="1" applyProtection="1">
      <alignment/>
      <protection locked="0"/>
    </xf>
    <xf numFmtId="0" fontId="43" fillId="34" borderId="46" xfId="0" applyFont="1" applyFill="1" applyBorder="1" applyAlignment="1" applyProtection="1">
      <alignment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47" fillId="34" borderId="52" xfId="0" applyFont="1" applyFill="1" applyBorder="1" applyAlignment="1" applyProtection="1">
      <alignment vertical="center"/>
      <protection locked="0"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locked="0"/>
    </xf>
    <xf numFmtId="0" fontId="47" fillId="34" borderId="46" xfId="0" applyFont="1" applyFill="1" applyBorder="1" applyAlignment="1" applyProtection="1">
      <alignment vertical="center"/>
      <protection locked="0"/>
    </xf>
    <xf numFmtId="0" fontId="39" fillId="34" borderId="36" xfId="0" applyFont="1" applyFill="1" applyBorder="1" applyAlignment="1" applyProtection="1">
      <alignment horizontal="center" vertical="center"/>
      <protection locked="0"/>
    </xf>
    <xf numFmtId="0" fontId="39" fillId="34" borderId="46" xfId="0" applyFont="1" applyFill="1" applyBorder="1" applyAlignment="1" applyProtection="1">
      <alignment horizontal="center" vertical="center"/>
      <protection locked="0"/>
    </xf>
    <xf numFmtId="0" fontId="47" fillId="0" borderId="45" xfId="0" applyFont="1" applyFill="1" applyBorder="1" applyAlignment="1" applyProtection="1">
      <alignment vertical="center"/>
      <protection locked="0"/>
    </xf>
    <xf numFmtId="0" fontId="47" fillId="34" borderId="45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0" fontId="47" fillId="0" borderId="46" xfId="0" applyFont="1" applyFill="1" applyBorder="1" applyAlignment="1" applyProtection="1">
      <alignment vertical="center"/>
      <protection locked="0"/>
    </xf>
    <xf numFmtId="0" fontId="39" fillId="34" borderId="36" xfId="0" applyFont="1" applyFill="1" applyBorder="1" applyAlignment="1" applyProtection="1">
      <alignment horizontal="center" vertical="center"/>
      <protection locked="0"/>
    </xf>
    <xf numFmtId="0" fontId="39" fillId="34" borderId="60" xfId="0" applyFont="1" applyFill="1" applyBorder="1" applyAlignment="1" applyProtection="1">
      <alignment horizontal="center" vertical="center"/>
      <protection locked="0"/>
    </xf>
    <xf numFmtId="0" fontId="39" fillId="34" borderId="51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62" xfId="0" applyFill="1" applyBorder="1" applyAlignment="1" applyProtection="1">
      <alignment horizontal="center"/>
      <protection locked="0"/>
    </xf>
    <xf numFmtId="14" fontId="39" fillId="34" borderId="63" xfId="0" applyNumberFormat="1" applyFont="1" applyFill="1" applyBorder="1" applyAlignment="1" applyProtection="1">
      <alignment horizontal="center" vertical="center"/>
      <protection locked="0"/>
    </xf>
    <xf numFmtId="0" fontId="6" fillId="34" borderId="64" xfId="0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16" fillId="34" borderId="47" xfId="0" applyFont="1" applyFill="1" applyBorder="1" applyAlignment="1" applyProtection="1">
      <alignment horizontal="left"/>
      <protection locked="0"/>
    </xf>
    <xf numFmtId="0" fontId="39" fillId="34" borderId="43" xfId="0" applyFont="1" applyFill="1" applyBorder="1" applyAlignment="1" applyProtection="1">
      <alignment horizontal="left"/>
      <protection locked="0"/>
    </xf>
    <xf numFmtId="0" fontId="39" fillId="34" borderId="46" xfId="0" applyFont="1" applyFill="1" applyBorder="1" applyAlignment="1" applyProtection="1">
      <alignment horizontal="left"/>
      <protection locked="0"/>
    </xf>
    <xf numFmtId="0" fontId="39" fillId="34" borderId="57" xfId="0" applyFont="1" applyFill="1" applyBorder="1" applyAlignment="1" applyProtection="1">
      <alignment horizontal="left"/>
      <protection locked="0"/>
    </xf>
    <xf numFmtId="0" fontId="39" fillId="34" borderId="44" xfId="0" applyFont="1" applyFill="1" applyBorder="1" applyAlignment="1" applyProtection="1">
      <alignment horizontal="left"/>
      <protection locked="0"/>
    </xf>
    <xf numFmtId="0" fontId="39" fillId="34" borderId="52" xfId="0" applyFont="1" applyFill="1" applyBorder="1" applyAlignment="1" applyProtection="1">
      <alignment horizontal="left"/>
      <protection locked="0"/>
    </xf>
    <xf numFmtId="0" fontId="39" fillId="34" borderId="67" xfId="0" applyFont="1" applyFill="1" applyBorder="1" applyAlignment="1" applyProtection="1">
      <alignment horizontal="left"/>
      <protection locked="0"/>
    </xf>
    <xf numFmtId="0" fontId="16" fillId="34" borderId="47" xfId="0" applyFont="1" applyFill="1" applyBorder="1" applyAlignment="1" applyProtection="1">
      <alignment horizontal="right"/>
      <protection locked="0"/>
    </xf>
    <xf numFmtId="0" fontId="5" fillId="34" borderId="50" xfId="0" applyFont="1" applyFill="1" applyBorder="1" applyAlignment="1" applyProtection="1">
      <alignment horizontal="right"/>
      <protection locked="0"/>
    </xf>
    <xf numFmtId="14" fontId="39" fillId="34" borderId="33" xfId="0" applyNumberFormat="1" applyFont="1" applyFill="1" applyBorder="1" applyAlignment="1" applyProtection="1">
      <alignment horizontal="center" vertical="center"/>
      <protection locked="0"/>
    </xf>
    <xf numFmtId="0" fontId="10" fillId="34" borderId="68" xfId="0" applyFont="1" applyFill="1" applyBorder="1" applyAlignment="1" applyProtection="1">
      <alignment horizontal="right" vertical="center"/>
      <protection locked="0"/>
    </xf>
    <xf numFmtId="0" fontId="17" fillId="34" borderId="64" xfId="0" applyFont="1" applyFill="1" applyBorder="1" applyAlignment="1" applyProtection="1">
      <alignment horizontal="center" vertical="center"/>
      <protection locked="0"/>
    </xf>
    <xf numFmtId="0" fontId="17" fillId="34" borderId="51" xfId="0" applyFont="1" applyFill="1" applyBorder="1" applyAlignment="1" applyProtection="1">
      <alignment horizontal="center" vertical="center"/>
      <protection locked="0"/>
    </xf>
    <xf numFmtId="0" fontId="17" fillId="34" borderId="69" xfId="0" applyFont="1" applyFill="1" applyBorder="1" applyAlignment="1" applyProtection="1">
      <alignment horizontal="center" vertical="center"/>
      <protection locked="0"/>
    </xf>
    <xf numFmtId="0" fontId="17" fillId="34" borderId="66" xfId="0" applyFont="1" applyFill="1" applyBorder="1" applyAlignment="1" applyProtection="1">
      <alignment horizontal="center" vertical="center"/>
      <protection locked="0"/>
    </xf>
    <xf numFmtId="0" fontId="17" fillId="34" borderId="47" xfId="0" applyFont="1" applyFill="1" applyBorder="1" applyAlignment="1" applyProtection="1">
      <alignment horizontal="center" vertical="center"/>
      <protection locked="0"/>
    </xf>
    <xf numFmtId="0" fontId="17" fillId="34" borderId="70" xfId="0" applyFont="1" applyFill="1" applyBorder="1" applyAlignment="1" applyProtection="1">
      <alignment horizontal="center" vertical="center"/>
      <protection locked="0"/>
    </xf>
    <xf numFmtId="0" fontId="42" fillId="34" borderId="60" xfId="0" applyFont="1" applyFill="1" applyBorder="1" applyAlignment="1" applyProtection="1">
      <alignment horizontal="left" vertical="center"/>
      <protection locked="0"/>
    </xf>
    <xf numFmtId="0" fontId="42" fillId="34" borderId="51" xfId="0" applyFont="1" applyFill="1" applyBorder="1" applyAlignment="1" applyProtection="1">
      <alignment horizontal="left" vertical="center"/>
      <protection locked="0"/>
    </xf>
    <xf numFmtId="0" fontId="42" fillId="34" borderId="65" xfId="0" applyFont="1" applyFill="1" applyBorder="1" applyAlignment="1" applyProtection="1">
      <alignment horizontal="left" vertical="center"/>
      <protection locked="0"/>
    </xf>
    <xf numFmtId="0" fontId="42" fillId="34" borderId="14" xfId="0" applyFont="1" applyFill="1" applyBorder="1" applyAlignment="1" applyProtection="1">
      <alignment horizontal="left" vertical="center"/>
      <protection locked="0"/>
    </xf>
    <xf numFmtId="0" fontId="42" fillId="34" borderId="47" xfId="0" applyFont="1" applyFill="1" applyBorder="1" applyAlignment="1" applyProtection="1">
      <alignment horizontal="left" vertical="center"/>
      <protection locked="0"/>
    </xf>
    <xf numFmtId="0" fontId="42" fillId="34" borderId="55" xfId="0" applyFont="1" applyFill="1" applyBorder="1" applyAlignment="1" applyProtection="1">
      <alignment horizontal="left" vertical="center"/>
      <protection locked="0"/>
    </xf>
    <xf numFmtId="0" fontId="39" fillId="34" borderId="71" xfId="0" applyFont="1" applyFill="1" applyBorder="1" applyAlignment="1" applyProtection="1">
      <alignment vertical="center"/>
      <protection locked="0"/>
    </xf>
    <xf numFmtId="0" fontId="39" fillId="34" borderId="63" xfId="0" applyFont="1" applyFill="1" applyBorder="1" applyAlignment="1" applyProtection="1">
      <alignment vertical="center"/>
      <protection locked="0"/>
    </xf>
    <xf numFmtId="0" fontId="39" fillId="34" borderId="67" xfId="0" applyFont="1" applyFill="1" applyBorder="1" applyAlignment="1" applyProtection="1">
      <alignment vertical="center"/>
      <protection locked="0"/>
    </xf>
    <xf numFmtId="0" fontId="39" fillId="34" borderId="33" xfId="0" applyFont="1" applyFill="1" applyBorder="1" applyAlignment="1" applyProtection="1">
      <alignment vertical="center"/>
      <protection locked="0"/>
    </xf>
    <xf numFmtId="0" fontId="39" fillId="34" borderId="72" xfId="0" applyFont="1" applyFill="1" applyBorder="1" applyAlignment="1" applyProtection="1">
      <alignment horizontal="center" vertical="center"/>
      <protection locked="0"/>
    </xf>
    <xf numFmtId="0" fontId="39" fillId="34" borderId="73" xfId="0" applyFont="1" applyFill="1" applyBorder="1" applyAlignment="1" applyProtection="1">
      <alignment horizontal="center" vertical="center"/>
      <protection locked="0"/>
    </xf>
    <xf numFmtId="0" fontId="47" fillId="0" borderId="61" xfId="0" applyFont="1" applyFill="1" applyBorder="1" applyAlignment="1" applyProtection="1">
      <alignment vertic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71" xfId="0" applyFont="1" applyFill="1" applyBorder="1" applyAlignment="1" applyProtection="1">
      <alignment horizontal="left" vertical="center"/>
      <protection locked="0"/>
    </xf>
    <xf numFmtId="0" fontId="39" fillId="34" borderId="57" xfId="0" applyFont="1" applyFill="1" applyBorder="1" applyAlignment="1" applyProtection="1">
      <alignment vertical="center"/>
      <protection locked="0"/>
    </xf>
    <xf numFmtId="0" fontId="39" fillId="34" borderId="31" xfId="0" applyFont="1" applyFill="1" applyBorder="1" applyAlignment="1" applyProtection="1">
      <alignment vertical="center"/>
      <protection locked="0"/>
    </xf>
    <xf numFmtId="0" fontId="10" fillId="34" borderId="51" xfId="0" applyFont="1" applyFill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 applyProtection="1">
      <alignment horizontal="center" vertical="center"/>
      <protection locked="0"/>
    </xf>
    <xf numFmtId="0" fontId="10" fillId="34" borderId="69" xfId="0" applyFont="1" applyFill="1" applyBorder="1" applyAlignment="1" applyProtection="1">
      <alignment horizontal="left" vertical="center"/>
      <protection locked="0"/>
    </xf>
    <xf numFmtId="0" fontId="10" fillId="34" borderId="74" xfId="0" applyFont="1" applyFill="1" applyBorder="1" applyAlignment="1" applyProtection="1">
      <alignment horizontal="left" vertical="center"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75" xfId="0" applyFill="1" applyBorder="1" applyAlignment="1" applyProtection="1">
      <alignment horizontal="center"/>
      <protection locked="0"/>
    </xf>
    <xf numFmtId="14" fontId="39" fillId="34" borderId="31" xfId="0" applyNumberFormat="1" applyFont="1" applyFill="1" applyBorder="1" applyAlignment="1" applyProtection="1">
      <alignment horizontal="center" vertical="center"/>
      <protection locked="0"/>
    </xf>
    <xf numFmtId="0" fontId="10" fillId="34" borderId="64" xfId="0" applyFont="1" applyFill="1" applyBorder="1" applyAlignment="1" applyProtection="1">
      <alignment horizontal="righ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4" fontId="39" fillId="34" borderId="46" xfId="0" applyNumberFormat="1" applyFont="1" applyFill="1" applyBorder="1" applyAlignment="1" applyProtection="1">
      <alignment horizontal="center" vertical="center"/>
      <protection locked="0"/>
    </xf>
    <xf numFmtId="14" fontId="39" fillId="34" borderId="57" xfId="0" applyNumberFormat="1" applyFont="1" applyFill="1" applyBorder="1" applyAlignment="1" applyProtection="1">
      <alignment horizontal="center" vertical="center"/>
      <protection locked="0"/>
    </xf>
    <xf numFmtId="0" fontId="42" fillId="34" borderId="39" xfId="0" applyFont="1" applyFill="1" applyBorder="1" applyAlignment="1" applyProtection="1">
      <alignment horizontal="left" vertical="center"/>
      <protection locked="0"/>
    </xf>
    <xf numFmtId="0" fontId="42" fillId="34" borderId="45" xfId="0" applyFont="1" applyFill="1" applyBorder="1" applyAlignment="1" applyProtection="1">
      <alignment horizontal="left" vertical="center"/>
      <protection locked="0"/>
    </xf>
    <xf numFmtId="0" fontId="42" fillId="34" borderId="59" xfId="0" applyFont="1" applyFill="1" applyBorder="1" applyAlignment="1" applyProtection="1">
      <alignment horizontal="left" vertical="center"/>
      <protection locked="0"/>
    </xf>
    <xf numFmtId="0" fontId="17" fillId="34" borderId="41" xfId="0" applyFont="1" applyFill="1" applyBorder="1" applyAlignment="1" applyProtection="1">
      <alignment horizontal="center" vertical="center"/>
      <protection locked="0"/>
    </xf>
    <xf numFmtId="0" fontId="17" fillId="34" borderId="45" xfId="0" applyFont="1" applyFill="1" applyBorder="1" applyAlignment="1" applyProtection="1">
      <alignment horizontal="center" vertical="center"/>
      <protection locked="0"/>
    </xf>
    <xf numFmtId="0" fontId="17" fillId="34" borderId="74" xfId="0" applyFont="1" applyFill="1" applyBorder="1" applyAlignment="1" applyProtection="1">
      <alignment horizontal="center" vertical="center"/>
      <protection locked="0"/>
    </xf>
    <xf numFmtId="0" fontId="6" fillId="34" borderId="68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68" xfId="0" applyFill="1" applyBorder="1" applyAlignment="1" applyProtection="1">
      <alignment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56" xfId="0" applyFont="1" applyFill="1" applyBorder="1" applyAlignment="1" applyProtection="1">
      <alignment horizontal="center" vertical="center"/>
      <protection locked="0"/>
    </xf>
    <xf numFmtId="0" fontId="10" fillId="34" borderId="76" xfId="0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Alignment="1" applyProtection="1">
      <alignment horizontal="left"/>
      <protection locked="0"/>
    </xf>
    <xf numFmtId="0" fontId="17" fillId="34" borderId="76" xfId="0" applyFont="1" applyFill="1" applyBorder="1" applyAlignment="1" applyProtection="1">
      <alignment horizontal="center" vertical="center"/>
      <protection locked="0"/>
    </xf>
    <xf numFmtId="0" fontId="17" fillId="34" borderId="73" xfId="0" applyFont="1" applyFill="1" applyBorder="1" applyAlignment="1" applyProtection="1">
      <alignment horizontal="center" vertical="center"/>
      <protection locked="0"/>
    </xf>
    <xf numFmtId="0" fontId="17" fillId="34" borderId="77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48" fillId="35" borderId="0" xfId="0" applyFont="1" applyFill="1" applyBorder="1" applyAlignment="1" applyProtection="1">
      <alignment horizontal="left" vertical="top"/>
      <protection locked="0"/>
    </xf>
    <xf numFmtId="0" fontId="6" fillId="35" borderId="0" xfId="0" applyFont="1" applyFill="1" applyBorder="1" applyAlignment="1" applyProtection="1">
      <alignment horizontal="left" vertical="top"/>
      <protection locked="0"/>
    </xf>
    <xf numFmtId="0" fontId="28" fillId="35" borderId="0" xfId="0" applyFont="1" applyFill="1" applyBorder="1" applyAlignment="1" applyProtection="1">
      <alignment horizontal="right"/>
      <protection locked="0"/>
    </xf>
    <xf numFmtId="0" fontId="23" fillId="35" borderId="0" xfId="0" applyFont="1" applyFill="1" applyBorder="1" applyAlignment="1" applyProtection="1">
      <alignment horizontal="right"/>
      <protection locked="0"/>
    </xf>
    <xf numFmtId="0" fontId="39" fillId="34" borderId="76" xfId="0" applyFont="1" applyFill="1" applyBorder="1" applyAlignment="1" applyProtection="1">
      <alignment horizontal="left"/>
      <protection locked="0"/>
    </xf>
    <xf numFmtId="0" fontId="39" fillId="34" borderId="73" xfId="0" applyFont="1" applyFill="1" applyBorder="1" applyAlignment="1" applyProtection="1">
      <alignment horizontal="left"/>
      <protection locked="0"/>
    </xf>
    <xf numFmtId="0" fontId="39" fillId="34" borderId="77" xfId="0" applyFont="1" applyFill="1" applyBorder="1" applyAlignment="1" applyProtection="1">
      <alignment horizontal="left"/>
      <protection locked="0"/>
    </xf>
    <xf numFmtId="0" fontId="42" fillId="0" borderId="72" xfId="0" applyFont="1" applyFill="1" applyBorder="1" applyAlignment="1" applyProtection="1">
      <alignment horizontal="left" vertical="center"/>
      <protection locked="0"/>
    </xf>
    <xf numFmtId="0" fontId="42" fillId="0" borderId="73" xfId="0" applyFont="1" applyFill="1" applyBorder="1" applyAlignment="1" applyProtection="1">
      <alignment horizontal="left" vertical="center"/>
      <protection locked="0"/>
    </xf>
    <xf numFmtId="0" fontId="42" fillId="0" borderId="78" xfId="0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15" xfId="0" applyFont="1" applyFill="1" applyBorder="1" applyAlignment="1" applyProtection="1">
      <alignment horizontal="left" vertical="center"/>
      <protection locked="0"/>
    </xf>
    <xf numFmtId="0" fontId="39" fillId="34" borderId="77" xfId="0" applyFont="1" applyFill="1" applyBorder="1" applyAlignment="1" applyProtection="1">
      <alignment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9" fillId="34" borderId="20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14" fontId="39" fillId="34" borderId="28" xfId="0" applyNumberFormat="1" applyFont="1" applyFill="1" applyBorder="1" applyAlignment="1" applyProtection="1">
      <alignment horizontal="center" vertical="center"/>
      <protection locked="0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6" fillId="34" borderId="59" xfId="0" applyFont="1" applyFill="1" applyBorder="1" applyAlignment="1" applyProtection="1">
      <alignment horizontal="center" vertical="center"/>
      <protection locked="0"/>
    </xf>
    <xf numFmtId="0" fontId="10" fillId="34" borderId="73" xfId="0" applyFont="1" applyFill="1" applyBorder="1" applyAlignment="1" applyProtection="1">
      <alignment horizontal="center" vertical="center"/>
      <protection locked="0"/>
    </xf>
    <xf numFmtId="0" fontId="10" fillId="34" borderId="77" xfId="0" applyFont="1" applyFill="1" applyBorder="1" applyAlignment="1" applyProtection="1">
      <alignment horizontal="left" vertical="center"/>
      <protection locked="0"/>
    </xf>
    <xf numFmtId="0" fontId="6" fillId="34" borderId="76" xfId="0" applyFont="1" applyFill="1" applyBorder="1" applyAlignment="1" applyProtection="1">
      <alignment horizontal="center" vertical="center"/>
      <protection locked="0"/>
    </xf>
    <xf numFmtId="0" fontId="0" fillId="34" borderId="73" xfId="0" applyFill="1" applyBorder="1" applyAlignment="1" applyProtection="1">
      <alignment/>
      <protection locked="0"/>
    </xf>
    <xf numFmtId="0" fontId="0" fillId="34" borderId="78" xfId="0" applyFill="1" applyBorder="1" applyAlignment="1" applyProtection="1">
      <alignment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164" fontId="12" fillId="0" borderId="47" xfId="0" applyNumberFormat="1" applyFont="1" applyBorder="1" applyAlignment="1" applyProtection="1">
      <alignment horizontal="center" vertical="center"/>
      <protection hidden="1"/>
    </xf>
    <xf numFmtId="164" fontId="12" fillId="0" borderId="55" xfId="0" applyNumberFormat="1" applyFont="1" applyBorder="1" applyAlignment="1" applyProtection="1">
      <alignment horizontal="center" vertical="center"/>
      <protection hidden="1"/>
    </xf>
    <xf numFmtId="0" fontId="14" fillId="0" borderId="72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75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75" xfId="0" applyNumberFormat="1" applyFont="1" applyBorder="1" applyAlignment="1" applyProtection="1">
      <alignment horizontal="center" vertical="center"/>
      <protection hidden="1"/>
    </xf>
    <xf numFmtId="20" fontId="12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75" xfId="0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75" xfId="0" applyFont="1" applyFill="1" applyBorder="1" applyAlignment="1" applyProtection="1">
      <alignment horizontal="center" vertical="center"/>
      <protection hidden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right"/>
      <protection hidden="1"/>
    </xf>
    <xf numFmtId="0" fontId="2" fillId="0" borderId="46" xfId="0" applyFont="1" applyBorder="1" applyAlignment="1" applyProtection="1">
      <alignment horizontal="right"/>
      <protection hidden="1"/>
    </xf>
    <xf numFmtId="20" fontId="12" fillId="0" borderId="73" xfId="0" applyNumberFormat="1" applyFont="1" applyBorder="1" applyAlignment="1" applyProtection="1">
      <alignment horizontal="center" vertical="center"/>
      <protection hidden="1"/>
    </xf>
    <xf numFmtId="20" fontId="12" fillId="0" borderId="78" xfId="0" applyNumberFormat="1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12" fillId="0" borderId="72" xfId="0" applyFont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12" fillId="0" borderId="78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12" fillId="0" borderId="72" xfId="0" applyFont="1" applyBorder="1" applyAlignment="1" applyProtection="1">
      <alignment horizontal="center" vertical="top"/>
      <protection hidden="1"/>
    </xf>
    <xf numFmtId="0" fontId="12" fillId="0" borderId="73" xfId="0" applyFont="1" applyBorder="1" applyAlignment="1" applyProtection="1">
      <alignment horizontal="center" vertical="top"/>
      <protection hidden="1"/>
    </xf>
    <xf numFmtId="0" fontId="12" fillId="0" borderId="78" xfId="0" applyFont="1" applyBorder="1" applyAlignment="1" applyProtection="1">
      <alignment horizontal="center" vertical="top"/>
      <protection hidden="1"/>
    </xf>
    <xf numFmtId="0" fontId="12" fillId="32" borderId="37" xfId="0" applyFont="1" applyFill="1" applyBorder="1" applyAlignment="1" applyProtection="1">
      <alignment horizontal="left" vertical="center"/>
      <protection hidden="1"/>
    </xf>
    <xf numFmtId="0" fontId="12" fillId="32" borderId="52" xfId="0" applyFont="1" applyFill="1" applyBorder="1" applyAlignment="1" applyProtection="1">
      <alignment horizontal="left" vertical="center"/>
      <protection hidden="1"/>
    </xf>
    <xf numFmtId="0" fontId="12" fillId="32" borderId="33" xfId="0" applyFont="1" applyFill="1" applyBorder="1" applyAlignment="1" applyProtection="1">
      <alignment horizontal="left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0" fillId="0" borderId="61" xfId="0" applyBorder="1" applyAlignment="1">
      <alignment/>
    </xf>
    <xf numFmtId="20" fontId="12" fillId="0" borderId="61" xfId="0" applyNumberFormat="1" applyFont="1" applyBorder="1" applyAlignment="1" applyProtection="1">
      <alignment horizontal="left" vertical="top"/>
      <protection hidden="1"/>
    </xf>
    <xf numFmtId="0" fontId="12" fillId="0" borderId="62" xfId="0" applyFont="1" applyBorder="1" applyAlignment="1" applyProtection="1">
      <alignment horizontal="left" vertical="top"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12" fillId="32" borderId="36" xfId="0" applyFont="1" applyFill="1" applyBorder="1" applyAlignment="1" applyProtection="1">
      <alignment horizontal="left" vertical="center"/>
      <protection hidden="1"/>
    </xf>
    <xf numFmtId="0" fontId="12" fillId="32" borderId="46" xfId="0" applyFont="1" applyFill="1" applyBorder="1" applyAlignment="1" applyProtection="1">
      <alignment horizontal="left" vertical="center"/>
      <protection hidden="1"/>
    </xf>
    <xf numFmtId="0" fontId="12" fillId="32" borderId="31" xfId="0" applyFont="1" applyFill="1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2" fillId="0" borderId="47" xfId="0" applyFont="1" applyBorder="1" applyAlignment="1" applyProtection="1">
      <alignment horizontal="center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32" borderId="16" xfId="0" applyFont="1" applyFill="1" applyBorder="1" applyAlignment="1" applyProtection="1">
      <alignment horizontal="center" vertical="center"/>
      <protection hidden="1"/>
    </xf>
    <xf numFmtId="0" fontId="12" fillId="32" borderId="56" xfId="0" applyFont="1" applyFill="1" applyBorder="1" applyAlignment="1" applyProtection="1">
      <alignment horizontal="center" vertical="center"/>
      <protection hidden="1"/>
    </xf>
    <xf numFmtId="0" fontId="12" fillId="32" borderId="50" xfId="0" applyFont="1" applyFill="1" applyBorder="1" applyAlignment="1" applyProtection="1">
      <alignment horizontal="center" vertical="center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12" fillId="33" borderId="56" xfId="0" applyFont="1" applyFill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left"/>
      <protection hidden="1"/>
    </xf>
    <xf numFmtId="0" fontId="20" fillId="0" borderId="75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12" fillId="32" borderId="72" xfId="0" applyFont="1" applyFill="1" applyBorder="1" applyAlignment="1" applyProtection="1">
      <alignment horizontal="left" vertical="center"/>
      <protection hidden="1"/>
    </xf>
    <xf numFmtId="0" fontId="12" fillId="32" borderId="73" xfId="0" applyFont="1" applyFill="1" applyBorder="1" applyAlignment="1" applyProtection="1">
      <alignment horizontal="left" vertical="center"/>
      <protection hidden="1"/>
    </xf>
    <xf numFmtId="0" fontId="12" fillId="32" borderId="28" xfId="0" applyFont="1" applyFill="1" applyBorder="1" applyAlignment="1" applyProtection="1">
      <alignment horizontal="left" vertical="center"/>
      <protection hidden="1"/>
    </xf>
    <xf numFmtId="0" fontId="29" fillId="35" borderId="0" xfId="0" applyFont="1" applyFill="1" applyAlignment="1" applyProtection="1">
      <alignment horizontal="left"/>
      <protection locked="0"/>
    </xf>
    <xf numFmtId="0" fontId="24" fillId="34" borderId="0" xfId="0" applyFont="1" applyFill="1" applyAlignment="1" applyProtection="1">
      <alignment horizontal="center"/>
      <protection locked="0"/>
    </xf>
    <xf numFmtId="0" fontId="26" fillId="34" borderId="0" xfId="0" applyFont="1" applyFill="1" applyAlignment="1" applyProtection="1">
      <alignment horizontal="center"/>
      <protection locked="0"/>
    </xf>
    <xf numFmtId="0" fontId="50" fillId="35" borderId="0" xfId="0" applyFont="1" applyFill="1" applyAlignment="1" applyProtection="1">
      <alignment horizontal="left"/>
      <protection locked="0"/>
    </xf>
    <xf numFmtId="0" fontId="24" fillId="34" borderId="0" xfId="0" applyFont="1" applyFill="1" applyAlignment="1" applyProtection="1">
      <alignment horizontal="left"/>
      <protection locked="0"/>
    </xf>
    <xf numFmtId="0" fontId="26" fillId="34" borderId="0" xfId="0" applyFont="1" applyFill="1" applyAlignment="1" applyProtection="1">
      <alignment horizontal="left"/>
      <protection locked="0"/>
    </xf>
    <xf numFmtId="0" fontId="39" fillId="35" borderId="0" xfId="0" applyFont="1" applyFill="1" applyAlignment="1" applyProtection="1">
      <alignment horizontal="left"/>
      <protection locked="0"/>
    </xf>
    <xf numFmtId="0" fontId="45" fillId="34" borderId="0" xfId="0" applyFont="1" applyFill="1" applyAlignment="1" applyProtection="1">
      <alignment horizontal="left"/>
      <protection locked="0"/>
    </xf>
    <xf numFmtId="0" fontId="44" fillId="34" borderId="45" xfId="0" applyFont="1" applyFill="1" applyBorder="1" applyAlignment="1" applyProtection="1">
      <alignment horizontal="center"/>
      <protection locked="0"/>
    </xf>
    <xf numFmtId="0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37" fillId="34" borderId="72" xfId="0" applyFont="1" applyFill="1" applyBorder="1" applyAlignment="1" applyProtection="1">
      <alignment horizontal="left" vertical="center"/>
      <protection locked="0"/>
    </xf>
    <xf numFmtId="0" fontId="37" fillId="34" borderId="73" xfId="0" applyFont="1" applyFill="1" applyBorder="1" applyAlignment="1" applyProtection="1">
      <alignment horizontal="left" vertical="center"/>
      <protection locked="0"/>
    </xf>
    <xf numFmtId="0" fontId="37" fillId="34" borderId="78" xfId="0" applyFont="1" applyFill="1" applyBorder="1" applyAlignment="1" applyProtection="1">
      <alignment horizontal="left" vertical="center"/>
      <protection locked="0"/>
    </xf>
    <xf numFmtId="0" fontId="37" fillId="34" borderId="14" xfId="0" applyFont="1" applyFill="1" applyBorder="1" applyAlignment="1" applyProtection="1">
      <alignment horizontal="left" vertical="center"/>
      <protection locked="0"/>
    </xf>
    <xf numFmtId="0" fontId="37" fillId="34" borderId="47" xfId="0" applyFont="1" applyFill="1" applyBorder="1" applyAlignment="1" applyProtection="1">
      <alignment horizontal="left" vertical="center"/>
      <protection locked="0"/>
    </xf>
    <xf numFmtId="0" fontId="37" fillId="34" borderId="55" xfId="0" applyFont="1" applyFill="1" applyBorder="1" applyAlignment="1" applyProtection="1">
      <alignment horizontal="left" vertical="center"/>
      <protection locked="0"/>
    </xf>
    <xf numFmtId="0" fontId="34" fillId="34" borderId="16" xfId="0" applyFont="1" applyFill="1" applyBorder="1" applyAlignment="1" applyProtection="1">
      <alignment horizontal="center" vertical="center"/>
      <protection locked="0"/>
    </xf>
    <xf numFmtId="0" fontId="35" fillId="34" borderId="56" xfId="0" applyFont="1" applyFill="1" applyBorder="1" applyAlignment="1" applyProtection="1">
      <alignment horizontal="center"/>
      <protection locked="0"/>
    </xf>
    <xf numFmtId="0" fontId="22" fillId="34" borderId="37" xfId="0" applyFont="1" applyFill="1" applyBorder="1" applyAlignment="1" applyProtection="1">
      <alignment horizontal="center"/>
      <protection locked="0"/>
    </xf>
    <xf numFmtId="0" fontId="22" fillId="34" borderId="52" xfId="0" applyFont="1" applyFill="1" applyBorder="1" applyAlignment="1" applyProtection="1">
      <alignment horizontal="center"/>
      <protection locked="0"/>
    </xf>
    <xf numFmtId="0" fontId="22" fillId="34" borderId="14" xfId="0" applyFont="1" applyFill="1" applyBorder="1" applyAlignment="1" applyProtection="1">
      <alignment horizontal="center"/>
      <protection locked="0"/>
    </xf>
    <xf numFmtId="0" fontId="22" fillId="34" borderId="47" xfId="0" applyFont="1" applyFill="1" applyBorder="1" applyAlignment="1" applyProtection="1">
      <alignment horizontal="center"/>
      <protection locked="0"/>
    </xf>
    <xf numFmtId="0" fontId="22" fillId="34" borderId="55" xfId="0" applyFont="1" applyFill="1" applyBorder="1" applyAlignment="1" applyProtection="1">
      <alignment horizontal="center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25" fillId="34" borderId="47" xfId="0" applyFont="1" applyFill="1" applyBorder="1" applyAlignment="1" applyProtection="1">
      <alignment horizontal="center"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5" fillId="34" borderId="16" xfId="0" applyFont="1" applyFill="1" applyBorder="1" applyAlignment="1" applyProtection="1">
      <alignment horizontal="center" vertical="center"/>
      <protection locked="0"/>
    </xf>
    <xf numFmtId="0" fontId="25" fillId="34" borderId="50" xfId="0" applyFont="1" applyFill="1" applyBorder="1" applyAlignment="1" applyProtection="1">
      <alignment horizontal="center" vertical="center"/>
      <protection locked="0"/>
    </xf>
    <xf numFmtId="0" fontId="25" fillId="34" borderId="56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Alignment="1" applyProtection="1">
      <alignment/>
      <protection locked="0"/>
    </xf>
    <xf numFmtId="0" fontId="17" fillId="34" borderId="79" xfId="0" applyFont="1" applyFill="1" applyBorder="1" applyAlignment="1" applyProtection="1">
      <alignment horizontal="center" vertical="center"/>
      <protection locked="0"/>
    </xf>
    <xf numFmtId="0" fontId="17" fillId="34" borderId="13" xfId="0" applyFont="1" applyFill="1" applyBorder="1" applyAlignment="1" applyProtection="1">
      <alignment horizontal="center" vertical="center"/>
      <protection locked="0"/>
    </xf>
    <xf numFmtId="0" fontId="2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37" fillId="34" borderId="72" xfId="0" applyFont="1" applyFill="1" applyBorder="1" applyAlignment="1" applyProtection="1">
      <alignment horizontal="right" vertical="center"/>
      <protection locked="0"/>
    </xf>
    <xf numFmtId="0" fontId="37" fillId="34" borderId="73" xfId="0" applyFont="1" applyFill="1" applyBorder="1" applyAlignment="1" applyProtection="1">
      <alignment horizontal="right" vertical="center"/>
      <protection locked="0"/>
    </xf>
    <xf numFmtId="0" fontId="37" fillId="34" borderId="14" xfId="0" applyFont="1" applyFill="1" applyBorder="1" applyAlignment="1" applyProtection="1">
      <alignment horizontal="right" vertical="center"/>
      <protection locked="0"/>
    </xf>
    <xf numFmtId="0" fontId="37" fillId="34" borderId="47" xfId="0" applyFont="1" applyFill="1" applyBorder="1" applyAlignment="1" applyProtection="1">
      <alignment horizontal="right" vertical="center"/>
      <protection locked="0"/>
    </xf>
    <xf numFmtId="0" fontId="38" fillId="34" borderId="73" xfId="0" applyFont="1" applyFill="1" applyBorder="1" applyAlignment="1" applyProtection="1">
      <alignment horizontal="center" vertical="center"/>
      <protection locked="0"/>
    </xf>
    <xf numFmtId="0" fontId="38" fillId="34" borderId="47" xfId="0" applyFont="1" applyFill="1" applyBorder="1" applyAlignment="1" applyProtection="1">
      <alignment horizontal="center" vertical="center"/>
      <protection locked="0"/>
    </xf>
    <xf numFmtId="0" fontId="17" fillId="34" borderId="80" xfId="0" applyFont="1" applyFill="1" applyBorder="1" applyAlignment="1" applyProtection="1">
      <alignment horizontal="center" vertical="center"/>
      <protection locked="0"/>
    </xf>
    <xf numFmtId="0" fontId="22" fillId="34" borderId="39" xfId="0" applyFont="1" applyFill="1" applyBorder="1" applyAlignment="1" applyProtection="1">
      <alignment horizontal="center"/>
      <protection locked="0"/>
    </xf>
    <xf numFmtId="0" fontId="22" fillId="34" borderId="45" xfId="0" applyFont="1" applyFill="1" applyBorder="1" applyAlignment="1" applyProtection="1">
      <alignment horizontal="center"/>
      <protection locked="0"/>
    </xf>
    <xf numFmtId="0" fontId="22" fillId="34" borderId="39" xfId="0" applyFont="1" applyFill="1" applyBorder="1" applyAlignment="1" applyProtection="1">
      <alignment horizontal="left"/>
      <protection locked="0"/>
    </xf>
    <xf numFmtId="0" fontId="22" fillId="34" borderId="37" xfId="0" applyFont="1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/>
      <protection locked="0"/>
    </xf>
    <xf numFmtId="0" fontId="34" fillId="34" borderId="16" xfId="0" applyFont="1" applyFill="1" applyBorder="1" applyAlignment="1" applyProtection="1">
      <alignment horizontal="center"/>
      <protection locked="0"/>
    </xf>
    <xf numFmtId="0" fontId="34" fillId="34" borderId="56" xfId="0" applyFont="1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/>
      <protection locked="0"/>
    </xf>
    <xf numFmtId="0" fontId="35" fillId="34" borderId="50" xfId="0" applyFont="1" applyFill="1" applyBorder="1" applyAlignment="1" applyProtection="1">
      <alignment horizontal="center"/>
      <protection locked="0"/>
    </xf>
    <xf numFmtId="0" fontId="35" fillId="34" borderId="56" xfId="0" applyFont="1" applyFill="1" applyBorder="1" applyAlignment="1" applyProtection="1">
      <alignment horizontal="center"/>
      <protection locked="0"/>
    </xf>
    <xf numFmtId="0" fontId="34" fillId="34" borderId="72" xfId="0" applyFont="1" applyFill="1" applyBorder="1" applyAlignment="1" applyProtection="1">
      <alignment horizontal="left" vertical="center"/>
      <protection locked="0"/>
    </xf>
    <xf numFmtId="0" fontId="34" fillId="34" borderId="73" xfId="0" applyFont="1" applyFill="1" applyBorder="1" applyAlignment="1" applyProtection="1">
      <alignment horizontal="left" vertical="center"/>
      <protection locked="0"/>
    </xf>
    <xf numFmtId="0" fontId="34" fillId="34" borderId="78" xfId="0" applyFont="1" applyFill="1" applyBorder="1" applyAlignment="1" applyProtection="1">
      <alignment horizontal="left" vertical="center"/>
      <protection locked="0"/>
    </xf>
    <xf numFmtId="0" fontId="34" fillId="34" borderId="14" xfId="0" applyFont="1" applyFill="1" applyBorder="1" applyAlignment="1" applyProtection="1">
      <alignment horizontal="left" vertical="center"/>
      <protection locked="0"/>
    </xf>
    <xf numFmtId="0" fontId="34" fillId="34" borderId="47" xfId="0" applyFont="1" applyFill="1" applyBorder="1" applyAlignment="1" applyProtection="1">
      <alignment horizontal="left" vertical="center"/>
      <protection locked="0"/>
    </xf>
    <xf numFmtId="0" fontId="34" fillId="34" borderId="55" xfId="0" applyFont="1" applyFill="1" applyBorder="1" applyAlignment="1" applyProtection="1">
      <alignment horizontal="left" vertical="center"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52" xfId="0" applyFill="1" applyBorder="1" applyAlignment="1" applyProtection="1">
      <alignment horizontal="left"/>
      <protection locked="0"/>
    </xf>
    <xf numFmtId="0" fontId="0" fillId="34" borderId="58" xfId="0" applyFill="1" applyBorder="1" applyAlignment="1" applyProtection="1">
      <alignment horizontal="left"/>
      <protection locked="0"/>
    </xf>
    <xf numFmtId="0" fontId="34" fillId="34" borderId="50" xfId="0" applyFont="1" applyFill="1" applyBorder="1" applyAlignment="1" applyProtection="1">
      <alignment horizontal="center"/>
      <protection locked="0"/>
    </xf>
    <xf numFmtId="0" fontId="0" fillId="34" borderId="72" xfId="0" applyFill="1" applyBorder="1" applyAlignment="1" applyProtection="1">
      <alignment horizontal="left"/>
      <protection locked="0"/>
    </xf>
    <xf numFmtId="0" fontId="0" fillId="34" borderId="73" xfId="0" applyFill="1" applyBorder="1" applyAlignment="1" applyProtection="1">
      <alignment horizontal="left"/>
      <protection locked="0"/>
    </xf>
    <xf numFmtId="0" fontId="0" fillId="34" borderId="78" xfId="0" applyFill="1" applyBorder="1" applyAlignment="1" applyProtection="1">
      <alignment horizontal="left"/>
      <protection locked="0"/>
    </xf>
    <xf numFmtId="0" fontId="2" fillId="34" borderId="72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55" xfId="0" applyFill="1" applyBorder="1" applyAlignment="1" applyProtection="1">
      <alignment horizontal="left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50" fillId="35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27" fillId="34" borderId="0" xfId="0" applyFont="1" applyFill="1" applyAlignment="1" applyProtection="1">
      <alignment horizontal="center"/>
      <protection locked="0"/>
    </xf>
    <xf numFmtId="0" fontId="28" fillId="34" borderId="0" xfId="0" applyFont="1" applyFill="1" applyAlignment="1" applyProtection="1">
      <alignment horizontal="center"/>
      <protection locked="0"/>
    </xf>
    <xf numFmtId="0" fontId="28" fillId="34" borderId="47" xfId="0" applyFont="1" applyFill="1" applyBorder="1" applyAlignment="1" applyProtection="1">
      <alignment horizontal="center"/>
      <protection locked="0"/>
    </xf>
    <xf numFmtId="0" fontId="23" fillId="34" borderId="47" xfId="0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5" fillId="0" borderId="27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35" fillId="0" borderId="37" xfId="0" applyFont="1" applyFill="1" applyBorder="1" applyAlignment="1">
      <alignment/>
    </xf>
    <xf numFmtId="0" fontId="0" fillId="0" borderId="52" xfId="0" applyFill="1" applyBorder="1" applyAlignment="1">
      <alignment/>
    </xf>
    <xf numFmtId="0" fontId="35" fillId="0" borderId="61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56" fillId="0" borderId="0" xfId="5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0" fontId="40" fillId="34" borderId="0" xfId="0" applyFont="1" applyFill="1" applyAlignment="1">
      <alignment horizontal="center" vertical="center"/>
    </xf>
    <xf numFmtId="0" fontId="25" fillId="34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 applyProtection="1">
      <alignment horizontal="left" vertical="center"/>
      <protection locked="0"/>
    </xf>
    <xf numFmtId="0" fontId="32" fillId="34" borderId="0" xfId="0" applyFont="1" applyFill="1" applyBorder="1" applyAlignment="1" applyProtection="1">
      <alignment horizontal="center" vertical="center"/>
      <protection hidden="1" locked="0"/>
    </xf>
    <xf numFmtId="0" fontId="22" fillId="34" borderId="0" xfId="0" applyFont="1" applyFill="1" applyAlignment="1">
      <alignment horizontal="center"/>
    </xf>
    <xf numFmtId="0" fontId="25" fillId="34" borderId="0" xfId="0" applyFont="1" applyFill="1" applyAlignment="1">
      <alignment horizontal="right"/>
    </xf>
    <xf numFmtId="0" fontId="22" fillId="34" borderId="0" xfId="0" applyFont="1" applyFill="1" applyAlignment="1" applyProtection="1">
      <alignment horizontal="left" indent="1"/>
      <protection locked="0"/>
    </xf>
    <xf numFmtId="165" fontId="0" fillId="34" borderId="0" xfId="0" applyNumberFormat="1" applyFill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361950</xdr:colOff>
      <xdr:row>1</xdr:row>
      <xdr:rowOff>66675</xdr:rowOff>
    </xdr:from>
    <xdr:to>
      <xdr:col>77</xdr:col>
      <xdr:colOff>85725</xdr:colOff>
      <xdr:row>52</xdr:row>
      <xdr:rowOff>9525</xdr:rowOff>
    </xdr:to>
    <xdr:sp>
      <xdr:nvSpPr>
        <xdr:cNvPr id="1" name="Rectangle 8"/>
        <xdr:cNvSpPr>
          <a:spLocks/>
        </xdr:cNvSpPr>
      </xdr:nvSpPr>
      <xdr:spPr>
        <a:xfrm flipH="1">
          <a:off x="13496925" y="228600"/>
          <a:ext cx="11153775" cy="1041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11</xdr:row>
      <xdr:rowOff>0</xdr:rowOff>
    </xdr:from>
    <xdr:to>
      <xdr:col>51</xdr:col>
      <xdr:colOff>19050</xdr:colOff>
      <xdr:row>31</xdr:row>
      <xdr:rowOff>0</xdr:rowOff>
    </xdr:to>
    <xdr:sp>
      <xdr:nvSpPr>
        <xdr:cNvPr id="2" name="Rectangle 9"/>
        <xdr:cNvSpPr>
          <a:spLocks/>
        </xdr:cNvSpPr>
      </xdr:nvSpPr>
      <xdr:spPr>
        <a:xfrm flipH="1">
          <a:off x="10772775" y="2047875"/>
          <a:ext cx="390525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28</xdr:col>
      <xdr:colOff>0</xdr:colOff>
      <xdr:row>50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4325" y="161925"/>
          <a:ext cx="7277100" cy="10125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0</xdr:rowOff>
    </xdr:from>
    <xdr:to>
      <xdr:col>30</xdr:col>
      <xdr:colOff>0</xdr:colOff>
      <xdr:row>43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162550" y="200025"/>
          <a:ext cx="3429000" cy="683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20</xdr:col>
      <xdr:colOff>0</xdr:colOff>
      <xdr:row>21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200025"/>
          <a:ext cx="325755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20</xdr:col>
      <xdr:colOff>0</xdr:colOff>
      <xdr:row>43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762000" y="3762375"/>
          <a:ext cx="32575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  <sheetName val="Lizenzen.UCI.ID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10046157129</v>
          </cell>
          <cell r="E75" t="str">
            <v>SAH</v>
          </cell>
          <cell r="F75" t="str">
            <v>SAH  10046157129</v>
          </cell>
          <cell r="G75" t="str">
            <v>RC Lostau II</v>
          </cell>
          <cell r="H75" t="str">
            <v>Eberhardt</v>
          </cell>
          <cell r="I75" t="str">
            <v>Pauline</v>
          </cell>
          <cell r="J75" t="str">
            <v>Eberhardt   Pauline</v>
          </cell>
          <cell r="K75">
            <v>38718</v>
          </cell>
        </row>
        <row r="76">
          <cell r="D76">
            <v>10049974683</v>
          </cell>
          <cell r="E76" t="str">
            <v>SAH</v>
          </cell>
          <cell r="F76" t="str">
            <v>SAH  10049974683</v>
          </cell>
          <cell r="G76" t="str">
            <v>RC Lostau II</v>
          </cell>
          <cell r="H76" t="str">
            <v>Otte</v>
          </cell>
          <cell r="I76" t="str">
            <v>Lotta</v>
          </cell>
          <cell r="J76" t="str">
            <v>Otte   Lotta</v>
          </cell>
          <cell r="K76">
            <v>38718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10144059431</v>
          </cell>
          <cell r="E109" t="str">
            <v>NDS</v>
          </cell>
          <cell r="F109" t="str">
            <v>NDS  10144059431</v>
          </cell>
          <cell r="G109" t="str">
            <v>RSVL Gifhorn I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98057</v>
          </cell>
          <cell r="E128" t="str">
            <v>NDS</v>
          </cell>
          <cell r="F128" t="str">
            <v>NDS  98057</v>
          </cell>
          <cell r="G128" t="str">
            <v>RV Etelsen II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51054</v>
          </cell>
          <cell r="E129" t="str">
            <v>BRE</v>
          </cell>
          <cell r="F129" t="str">
            <v>BRE  51054</v>
          </cell>
          <cell r="G129" t="str">
            <v>RVS Oberneuland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213791</v>
          </cell>
          <cell r="E130" t="str">
            <v>RKB</v>
          </cell>
          <cell r="F130" t="str">
            <v>RKB  213791</v>
          </cell>
          <cell r="G130" t="str">
            <v>RSV Bramsche III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24128</v>
          </cell>
        </row>
        <row r="131">
          <cell r="D131">
            <v>91386</v>
          </cell>
          <cell r="E131" t="str">
            <v>NDS</v>
          </cell>
          <cell r="F131" t="str">
            <v>NDS  91386</v>
          </cell>
          <cell r="G131" t="str">
            <v>RVB Barnstorf 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24133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40878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I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41210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10046229675</v>
          </cell>
          <cell r="E235" t="str">
            <v>SAH</v>
          </cell>
          <cell r="F235" t="str">
            <v>SAH  10046229675</v>
          </cell>
          <cell r="G235" t="str">
            <v>RSV Jänkendorf</v>
          </cell>
          <cell r="H235" t="str">
            <v>Hänsch</v>
          </cell>
          <cell r="I235" t="str">
            <v>Lena</v>
          </cell>
          <cell r="J235" t="str">
            <v>Hänsch   Lena</v>
          </cell>
          <cell r="K235">
            <v>38718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10077542285</v>
          </cell>
          <cell r="E245" t="str">
            <v>SAH</v>
          </cell>
          <cell r="F245" t="str">
            <v>SAH  10077542285</v>
          </cell>
          <cell r="G245" t="str">
            <v>RSV Jänkendorf</v>
          </cell>
          <cell r="H245" t="str">
            <v>Herberge</v>
          </cell>
          <cell r="I245" t="str">
            <v>Carlotta</v>
          </cell>
          <cell r="J245" t="str">
            <v>Herberge   Carlotta</v>
          </cell>
          <cell r="K245">
            <v>38718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43247</v>
          </cell>
          <cell r="E275" t="str">
            <v>BRA</v>
          </cell>
          <cell r="F275" t="str">
            <v>BRA  43247</v>
          </cell>
          <cell r="G275" t="str">
            <v>LRV Cottbus 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42304</v>
          </cell>
          <cell r="E276" t="str">
            <v>BRA</v>
          </cell>
          <cell r="F276" t="str">
            <v>BRA  42304</v>
          </cell>
          <cell r="G276" t="str">
            <v>LRV Cottbus II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10114772303</v>
          </cell>
          <cell r="E290" t="str">
            <v>RKB</v>
          </cell>
          <cell r="F290" t="str">
            <v>RKB  10114772303</v>
          </cell>
          <cell r="G290" t="str">
            <v>RKB Wetzlar</v>
          </cell>
          <cell r="H290" t="str">
            <v>Jacob</v>
          </cell>
          <cell r="I290" t="str">
            <v>Caroline</v>
          </cell>
          <cell r="J290" t="str">
            <v>Jacob   Caroline</v>
          </cell>
          <cell r="K290">
            <v>38718</v>
          </cell>
        </row>
        <row r="291">
          <cell r="D291">
            <v>10043837516</v>
          </cell>
          <cell r="E291" t="str">
            <v>RKB</v>
          </cell>
          <cell r="F291" t="str">
            <v>RKB  10043837516</v>
          </cell>
          <cell r="G291" t="str">
            <v>RKB Wetzlar</v>
          </cell>
          <cell r="H291" t="str">
            <v>Braun</v>
          </cell>
          <cell r="I291" t="str">
            <v>Victoria</v>
          </cell>
          <cell r="J291" t="str">
            <v>Braun   Victoria</v>
          </cell>
          <cell r="K291">
            <v>38718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40943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III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10132449541</v>
          </cell>
          <cell r="E471" t="str">
            <v>NDS</v>
          </cell>
          <cell r="F471" t="str">
            <v>NDS  10132449541</v>
          </cell>
          <cell r="G471" t="str">
            <v>RCG Hahndorf I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10144063168</v>
          </cell>
          <cell r="E521" t="str">
            <v>NDS</v>
          </cell>
          <cell r="F521" t="str">
            <v>NDS  10144063168</v>
          </cell>
          <cell r="G521" t="str">
            <v>RSVL Gifhorn I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10045725881</v>
          </cell>
          <cell r="E538" t="str">
            <v>BRE</v>
          </cell>
          <cell r="F538" t="str">
            <v>BRE  10045725881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IV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IV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10048547975</v>
          </cell>
          <cell r="E577" t="str">
            <v>NDS</v>
          </cell>
          <cell r="F577" t="str">
            <v>NDS  10048547975</v>
          </cell>
          <cell r="G577" t="str">
            <v>RVGR Oker 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90734</v>
          </cell>
          <cell r="E578" t="str">
            <v>NDS</v>
          </cell>
          <cell r="F578" t="str">
            <v>NDS  90734</v>
          </cell>
          <cell r="G578" t="str">
            <v>RVGR Oker I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10090010013</v>
          </cell>
          <cell r="E614" t="str">
            <v>NDS</v>
          </cell>
          <cell r="F614" t="str">
            <v>NDS  10090010013</v>
          </cell>
          <cell r="G614" t="str">
            <v>SG Etelsen / Barrien</v>
          </cell>
          <cell r="H614" t="str">
            <v>Maute</v>
          </cell>
          <cell r="I614" t="str">
            <v>Max</v>
          </cell>
          <cell r="J614" t="str">
            <v>Maute   Max</v>
          </cell>
          <cell r="K614">
            <v>36050</v>
          </cell>
        </row>
        <row r="615">
          <cell r="D615">
            <v>214286</v>
          </cell>
          <cell r="E615" t="str">
            <v>RKB</v>
          </cell>
          <cell r="F615" t="str">
            <v>RKB  214286</v>
          </cell>
          <cell r="G615" t="str">
            <v>RKB Wetzlar I</v>
          </cell>
          <cell r="H615" t="str">
            <v>Mayer</v>
          </cell>
          <cell r="I615" t="str">
            <v>Kira Chantal</v>
          </cell>
          <cell r="J615" t="str">
            <v>Mayer   Kira Chantal</v>
          </cell>
          <cell r="K615">
            <v>34598</v>
          </cell>
        </row>
        <row r="616">
          <cell r="D616">
            <v>10077295240</v>
          </cell>
          <cell r="E616" t="str">
            <v>RKB</v>
          </cell>
          <cell r="F616" t="str">
            <v>RKB  10077295240</v>
          </cell>
          <cell r="G616" t="str">
            <v>RSV Halle I</v>
          </cell>
          <cell r="H616" t="str">
            <v>Mayland-Quellhorst</v>
          </cell>
          <cell r="I616" t="str">
            <v>Karoline</v>
          </cell>
          <cell r="J616" t="str">
            <v>Mayland-Quellhorst   Karoline</v>
          </cell>
          <cell r="K616">
            <v>39317</v>
          </cell>
        </row>
        <row r="617">
          <cell r="D617">
            <v>95727</v>
          </cell>
          <cell r="E617" t="str">
            <v>NDS</v>
          </cell>
          <cell r="F617" t="str">
            <v>NDS  95727</v>
          </cell>
          <cell r="G617" t="str">
            <v>RCT Hannover I</v>
          </cell>
          <cell r="H617" t="str">
            <v>McGuigan</v>
          </cell>
          <cell r="I617" t="str">
            <v>Alexander</v>
          </cell>
          <cell r="J617" t="str">
            <v>McGuigan   Alexander</v>
          </cell>
          <cell r="K617">
            <v>37920</v>
          </cell>
        </row>
        <row r="618">
          <cell r="D618">
            <v>216286</v>
          </cell>
          <cell r="E618" t="str">
            <v>RKB</v>
          </cell>
          <cell r="F618" t="str">
            <v>RKB  216286</v>
          </cell>
          <cell r="G618" t="str">
            <v>RSV Halle I</v>
          </cell>
          <cell r="H618" t="str">
            <v>Meier</v>
          </cell>
          <cell r="I618" t="str">
            <v>Anna</v>
          </cell>
          <cell r="J618" t="str">
            <v>Meier   Anna</v>
          </cell>
          <cell r="K618">
            <v>36937</v>
          </cell>
        </row>
        <row r="619">
          <cell r="D619">
            <v>10050472114</v>
          </cell>
          <cell r="E619" t="str">
            <v>RKB</v>
          </cell>
          <cell r="F619" t="str">
            <v>RKB  10050472114</v>
          </cell>
          <cell r="G619" t="str">
            <v>RSV Halle I</v>
          </cell>
          <cell r="H619" t="str">
            <v>Meier</v>
          </cell>
          <cell r="I619" t="str">
            <v>Nina Christine</v>
          </cell>
          <cell r="J619" t="str">
            <v>Meier   Nina Christine</v>
          </cell>
          <cell r="K619">
            <v>38009</v>
          </cell>
        </row>
        <row r="620">
          <cell r="D620">
            <v>602244</v>
          </cell>
          <cell r="E620" t="str">
            <v>RKB</v>
          </cell>
          <cell r="F620" t="str">
            <v>NRW 602244</v>
          </cell>
          <cell r="G620" t="str">
            <v>RSVB Leeden II</v>
          </cell>
          <cell r="H620" t="str">
            <v>Meier</v>
          </cell>
          <cell r="I620" t="str">
            <v>Sascha</v>
          </cell>
          <cell r="J620" t="str">
            <v>Meier   Sascha</v>
          </cell>
          <cell r="K620">
            <v>33267</v>
          </cell>
        </row>
        <row r="621">
          <cell r="D621">
            <v>709116</v>
          </cell>
          <cell r="E621" t="str">
            <v>BRA</v>
          </cell>
          <cell r="F621" t="str">
            <v>BRA  709116</v>
          </cell>
          <cell r="G621" t="str">
            <v>Ludwigsfelder RC</v>
          </cell>
          <cell r="H621" t="str">
            <v>Meine</v>
          </cell>
          <cell r="I621" t="str">
            <v>Sean</v>
          </cell>
          <cell r="J621" t="str">
            <v>Meine   Sean</v>
          </cell>
          <cell r="K621">
            <v>38863</v>
          </cell>
        </row>
        <row r="622">
          <cell r="D622">
            <v>44287</v>
          </cell>
          <cell r="E622" t="str">
            <v>BRA</v>
          </cell>
          <cell r="F622" t="str">
            <v>BRA  44287</v>
          </cell>
          <cell r="G622" t="str">
            <v>Ludwigsfelder RC</v>
          </cell>
          <cell r="H622" t="str">
            <v>Meinhardt</v>
          </cell>
          <cell r="I622" t="str">
            <v>Tom</v>
          </cell>
          <cell r="J622" t="str">
            <v>Meinhardt   Tom</v>
          </cell>
          <cell r="K622">
            <v>36455</v>
          </cell>
        </row>
        <row r="623">
          <cell r="D623">
            <v>10136676519</v>
          </cell>
          <cell r="E623" t="str">
            <v>BRE</v>
          </cell>
          <cell r="F623" t="str">
            <v>BRE  10136676519</v>
          </cell>
          <cell r="G623" t="str">
            <v>Oberneuland I</v>
          </cell>
          <cell r="H623" t="str">
            <v>Meiß</v>
          </cell>
          <cell r="I623" t="str">
            <v>Ole Johann</v>
          </cell>
          <cell r="J623" t="str">
            <v>Meiß   Ole Johann</v>
          </cell>
          <cell r="K623">
            <v>41482</v>
          </cell>
        </row>
        <row r="624">
          <cell r="D624">
            <v>92170</v>
          </cell>
          <cell r="E624" t="str">
            <v>NDS</v>
          </cell>
          <cell r="F624" t="str">
            <v>NDS  92170</v>
          </cell>
          <cell r="G624" t="str">
            <v>RCT Hannover</v>
          </cell>
          <cell r="H624" t="str">
            <v>Memleb</v>
          </cell>
          <cell r="I624" t="str">
            <v>Michael</v>
          </cell>
          <cell r="J624" t="str">
            <v>Memleb   Michael</v>
          </cell>
          <cell r="K624">
            <v>32031</v>
          </cell>
        </row>
        <row r="625">
          <cell r="D625">
            <v>93775</v>
          </cell>
          <cell r="E625" t="str">
            <v>NDS</v>
          </cell>
          <cell r="F625" t="str">
            <v>NDS  93775</v>
          </cell>
          <cell r="G625" t="str">
            <v>RSVL Gifhorn</v>
          </cell>
          <cell r="H625" t="str">
            <v>Mensch</v>
          </cell>
          <cell r="I625" t="str">
            <v>Thomas</v>
          </cell>
          <cell r="J625" t="str">
            <v>Mensch   Thomas</v>
          </cell>
          <cell r="K625">
            <v>33876</v>
          </cell>
        </row>
        <row r="626">
          <cell r="D626">
            <v>10142622417</v>
          </cell>
          <cell r="E626" t="str">
            <v>NDS</v>
          </cell>
          <cell r="F626" t="str">
            <v>NDS  10142622417</v>
          </cell>
          <cell r="G626" t="str">
            <v>RVS Obernfeld II</v>
          </cell>
          <cell r="H626" t="str">
            <v>Menzel</v>
          </cell>
          <cell r="I626" t="str">
            <v>Alexander</v>
          </cell>
          <cell r="J626" t="str">
            <v>Menzel   Alexander</v>
          </cell>
          <cell r="K626">
            <v>41376</v>
          </cell>
        </row>
        <row r="627">
          <cell r="D627">
            <v>10142617767</v>
          </cell>
          <cell r="E627" t="str">
            <v>NDS</v>
          </cell>
          <cell r="F627" t="str">
            <v>NDS  10142617767</v>
          </cell>
          <cell r="G627" t="str">
            <v>RVS Obernfeld II</v>
          </cell>
          <cell r="H627" t="str">
            <v>Menzel</v>
          </cell>
          <cell r="I627" t="str">
            <v>Sophia</v>
          </cell>
          <cell r="J627" t="str">
            <v>Menzel   Sophia</v>
          </cell>
          <cell r="K627">
            <v>40788</v>
          </cell>
        </row>
        <row r="628">
          <cell r="D628">
            <v>10036474509</v>
          </cell>
          <cell r="E628" t="str">
            <v>NRW</v>
          </cell>
          <cell r="F628" t="str">
            <v>NRW  10036474509</v>
          </cell>
          <cell r="G628" t="str">
            <v>SG Suderwich I</v>
          </cell>
          <cell r="H628" t="str">
            <v>Merlau</v>
          </cell>
          <cell r="I628" t="str">
            <v>Nils</v>
          </cell>
          <cell r="J628" t="str">
            <v>Merlau   Nils</v>
          </cell>
          <cell r="K628">
            <v>39290</v>
          </cell>
        </row>
        <row r="629">
          <cell r="D629">
            <v>92160</v>
          </cell>
          <cell r="E629" t="str">
            <v>NDS</v>
          </cell>
          <cell r="F629" t="str">
            <v>NDS  92160</v>
          </cell>
          <cell r="G629" t="str">
            <v>RVT Aschendorf III</v>
          </cell>
          <cell r="H629" t="str">
            <v>Mersch</v>
          </cell>
          <cell r="I629" t="str">
            <v>Christian</v>
          </cell>
          <cell r="J629" t="str">
            <v>Mersch   Christian</v>
          </cell>
          <cell r="K629">
            <v>32552</v>
          </cell>
        </row>
        <row r="630">
          <cell r="D630">
            <v>92588</v>
          </cell>
          <cell r="E630" t="str">
            <v>NDS</v>
          </cell>
          <cell r="F630" t="str">
            <v>NDS  92588</v>
          </cell>
          <cell r="G630" t="str">
            <v>RVT Aschendorf IV</v>
          </cell>
          <cell r="H630" t="str">
            <v>Mersch</v>
          </cell>
          <cell r="I630" t="str">
            <v>Michael</v>
          </cell>
          <cell r="J630" t="str">
            <v>Mersch   Michael</v>
          </cell>
          <cell r="K630">
            <v>33407</v>
          </cell>
        </row>
        <row r="631">
          <cell r="D631">
            <v>96004</v>
          </cell>
          <cell r="E631" t="str">
            <v>NDS</v>
          </cell>
          <cell r="F631" t="str">
            <v>NDS  96004</v>
          </cell>
          <cell r="G631" t="str">
            <v>RVT Aschendorf</v>
          </cell>
          <cell r="H631" t="str">
            <v>Mersch</v>
          </cell>
          <cell r="I631" t="str">
            <v>Nicol</v>
          </cell>
          <cell r="J631" t="str">
            <v>Mersch   Nicol</v>
          </cell>
          <cell r="K631">
            <v>34735</v>
          </cell>
        </row>
        <row r="632">
          <cell r="D632">
            <v>92295</v>
          </cell>
          <cell r="E632" t="str">
            <v>NDS</v>
          </cell>
          <cell r="F632" t="str">
            <v>NDS  92295</v>
          </cell>
          <cell r="G632" t="str">
            <v>RVS Obernfeld I</v>
          </cell>
          <cell r="H632" t="str">
            <v>Meseke</v>
          </cell>
          <cell r="I632" t="str">
            <v>Anna</v>
          </cell>
          <cell r="J632" t="str">
            <v>Meseke   Anna</v>
          </cell>
          <cell r="K632">
            <v>32858</v>
          </cell>
        </row>
        <row r="633">
          <cell r="D633">
            <v>215003</v>
          </cell>
          <cell r="E633" t="str">
            <v>RKB</v>
          </cell>
          <cell r="F633" t="str">
            <v>RKB  215003</v>
          </cell>
          <cell r="G633" t="str">
            <v>SC Woltringhausen II</v>
          </cell>
          <cell r="H633" t="str">
            <v>Mester</v>
          </cell>
          <cell r="I633" t="str">
            <v>Laura</v>
          </cell>
          <cell r="J633" t="str">
            <v>Mester   Laura</v>
          </cell>
          <cell r="K633">
            <v>34968</v>
          </cell>
        </row>
        <row r="634">
          <cell r="D634">
            <v>95234</v>
          </cell>
          <cell r="E634" t="str">
            <v>NDS</v>
          </cell>
          <cell r="F634" t="str">
            <v>NDS  95234</v>
          </cell>
          <cell r="G634" t="str">
            <v>RV Etelsen II</v>
          </cell>
          <cell r="H634" t="str">
            <v>Metz</v>
          </cell>
          <cell r="I634" t="str">
            <v>René</v>
          </cell>
          <cell r="J634" t="str">
            <v>Metz   René</v>
          </cell>
          <cell r="K634">
            <v>36865</v>
          </cell>
        </row>
        <row r="635">
          <cell r="D635">
            <v>10090141979</v>
          </cell>
          <cell r="E635" t="str">
            <v>NDS</v>
          </cell>
          <cell r="F635" t="str">
            <v>NDS  10090141979</v>
          </cell>
          <cell r="G635" t="str">
            <v>RV Warfleth I</v>
          </cell>
          <cell r="H635" t="str">
            <v>Meyer</v>
          </cell>
          <cell r="I635" t="str">
            <v>Andre</v>
          </cell>
          <cell r="J635" t="str">
            <v>Meyer   Andre</v>
          </cell>
          <cell r="K635">
            <v>27121</v>
          </cell>
        </row>
        <row r="636">
          <cell r="D636">
            <v>93133</v>
          </cell>
          <cell r="E636" t="str">
            <v>NDS</v>
          </cell>
          <cell r="F636" t="str">
            <v>NDS  93133</v>
          </cell>
          <cell r="G636" t="str">
            <v>RVT Aschendorf I</v>
          </cell>
          <cell r="H636" t="str">
            <v>Meyer</v>
          </cell>
          <cell r="I636" t="str">
            <v>Florian</v>
          </cell>
          <cell r="J636" t="str">
            <v>Meyer   Florian</v>
          </cell>
          <cell r="K636">
            <v>31982</v>
          </cell>
        </row>
        <row r="637">
          <cell r="D637">
            <v>10050465646</v>
          </cell>
          <cell r="E637" t="str">
            <v>NDS</v>
          </cell>
          <cell r="F637" t="str">
            <v>NDS  10050465646</v>
          </cell>
          <cell r="G637" t="str">
            <v>RV Etelsen III</v>
          </cell>
          <cell r="H637" t="str">
            <v>Meyer</v>
          </cell>
          <cell r="I637" t="str">
            <v>Henrik</v>
          </cell>
          <cell r="J637" t="str">
            <v>Meyer   Henrik</v>
          </cell>
          <cell r="K637">
            <v>33237</v>
          </cell>
        </row>
        <row r="638">
          <cell r="D638">
            <v>98368</v>
          </cell>
          <cell r="E638" t="str">
            <v>NDS</v>
          </cell>
          <cell r="F638" t="str">
            <v>NDS  98368</v>
          </cell>
          <cell r="G638" t="str">
            <v>RSVL Gifhorn II</v>
          </cell>
          <cell r="H638" t="str">
            <v>Meyer</v>
          </cell>
          <cell r="I638" t="str">
            <v>Jonas</v>
          </cell>
          <cell r="J638" t="str">
            <v>Meyer   Jonas</v>
          </cell>
          <cell r="K638">
            <v>34717</v>
          </cell>
        </row>
        <row r="639">
          <cell r="D639">
            <v>98056</v>
          </cell>
          <cell r="E639" t="str">
            <v>NDS</v>
          </cell>
          <cell r="F639" t="str">
            <v>NDS  98056</v>
          </cell>
          <cell r="G639" t="str">
            <v>RV Etelsen II a.K.</v>
          </cell>
          <cell r="H639" t="str">
            <v>Meyer</v>
          </cell>
          <cell r="I639" t="str">
            <v>Patrick</v>
          </cell>
          <cell r="J639" t="str">
            <v>Meyer   Patrick</v>
          </cell>
          <cell r="K639">
            <v>34740</v>
          </cell>
        </row>
        <row r="640">
          <cell r="D640">
            <v>10049153823</v>
          </cell>
          <cell r="E640" t="str">
            <v>BRE</v>
          </cell>
          <cell r="F640" t="str">
            <v>BRE  10049153823</v>
          </cell>
          <cell r="G640" t="str">
            <v>RVS Oberneuland II</v>
          </cell>
          <cell r="H640" t="str">
            <v>Meyer</v>
          </cell>
          <cell r="I640" t="str">
            <v>Simon</v>
          </cell>
          <cell r="J640" t="str">
            <v>Meyer   Simon</v>
          </cell>
          <cell r="K640">
            <v>36235</v>
          </cell>
        </row>
        <row r="641">
          <cell r="D641">
            <v>90383</v>
          </cell>
          <cell r="E641" t="str">
            <v>NDS</v>
          </cell>
          <cell r="F641" t="str">
            <v>NDS  90383</v>
          </cell>
          <cell r="G641" t="str">
            <v>RTC Hildesheim I</v>
          </cell>
          <cell r="H641" t="str">
            <v>Michalski</v>
          </cell>
          <cell r="I641" t="str">
            <v>Julia</v>
          </cell>
          <cell r="J641" t="str">
            <v>Michalski   Julia</v>
          </cell>
          <cell r="K641">
            <v>32090</v>
          </cell>
        </row>
        <row r="642">
          <cell r="D642">
            <v>91338</v>
          </cell>
          <cell r="E642" t="str">
            <v>NDS</v>
          </cell>
          <cell r="F642" t="str">
            <v>NDS  91338</v>
          </cell>
          <cell r="G642" t="str">
            <v>RCG Hahndorf</v>
          </cell>
          <cell r="H642" t="str">
            <v>Miehe</v>
          </cell>
          <cell r="I642" t="str">
            <v>Christoph</v>
          </cell>
          <cell r="J642" t="str">
            <v>Miehe   Christoph</v>
          </cell>
          <cell r="K642">
            <v>29649</v>
          </cell>
        </row>
        <row r="643">
          <cell r="D643">
            <v>90300</v>
          </cell>
          <cell r="E643" t="str">
            <v>NDS</v>
          </cell>
          <cell r="F643" t="str">
            <v>NDS  90300</v>
          </cell>
          <cell r="G643" t="str">
            <v>RCG Hahndorf III</v>
          </cell>
          <cell r="H643" t="str">
            <v>Miehe</v>
          </cell>
          <cell r="I643" t="str">
            <v>Hubertus</v>
          </cell>
          <cell r="J643" t="str">
            <v>Miehe   Hubertus</v>
          </cell>
          <cell r="K643">
            <v>25145</v>
          </cell>
        </row>
        <row r="644">
          <cell r="D644">
            <v>91657</v>
          </cell>
          <cell r="E644" t="str">
            <v>NDS</v>
          </cell>
          <cell r="F644" t="str">
            <v>NDS  91657</v>
          </cell>
          <cell r="G644" t="str">
            <v>RCG Hahndorf </v>
          </cell>
          <cell r="H644" t="str">
            <v>Miehe</v>
          </cell>
          <cell r="I644" t="str">
            <v>Julian</v>
          </cell>
          <cell r="J644" t="str">
            <v>Miehe   Julian</v>
          </cell>
          <cell r="K644">
            <v>32263</v>
          </cell>
        </row>
        <row r="645">
          <cell r="D645">
            <v>10043816803</v>
          </cell>
          <cell r="E645" t="str">
            <v>NDS</v>
          </cell>
          <cell r="F645" t="str">
            <v>NDS  10043816803</v>
          </cell>
          <cell r="G645" t="str">
            <v>RCG Hahndorf I</v>
          </cell>
          <cell r="H645" t="str">
            <v>Miehe</v>
          </cell>
          <cell r="I645" t="str">
            <v>Manuel</v>
          </cell>
          <cell r="J645" t="str">
            <v>Miehe   Manuel</v>
          </cell>
          <cell r="K645">
            <v>33452</v>
          </cell>
        </row>
        <row r="646">
          <cell r="D646">
            <v>90301</v>
          </cell>
          <cell r="E646" t="str">
            <v>NDS</v>
          </cell>
          <cell r="F646" t="str">
            <v>NDS  90301</v>
          </cell>
          <cell r="G646" t="str">
            <v>RCG Hahndorf V</v>
          </cell>
          <cell r="H646" t="str">
            <v>Miehe</v>
          </cell>
          <cell r="I646" t="str">
            <v>Marius</v>
          </cell>
          <cell r="J646" t="str">
            <v>Miehe   Marius</v>
          </cell>
          <cell r="K646">
            <v>31414</v>
          </cell>
        </row>
        <row r="647">
          <cell r="D647">
            <v>44651</v>
          </cell>
          <cell r="E647" t="str">
            <v>BRA</v>
          </cell>
          <cell r="F647" t="str">
            <v>BRA  44651</v>
          </cell>
          <cell r="G647" t="str">
            <v>LRV Cottbus </v>
          </cell>
          <cell r="H647" t="str">
            <v>Miltz</v>
          </cell>
          <cell r="I647" t="str">
            <v>Franz</v>
          </cell>
          <cell r="J647" t="str">
            <v>Miltz   Franz</v>
          </cell>
          <cell r="K647">
            <v>37231</v>
          </cell>
        </row>
        <row r="648">
          <cell r="D648">
            <v>90658</v>
          </cell>
          <cell r="E648" t="str">
            <v>NDS</v>
          </cell>
          <cell r="F648" t="str">
            <v>NDS  90658</v>
          </cell>
          <cell r="G648" t="str">
            <v>RSVL Gifhorn III</v>
          </cell>
          <cell r="H648" t="str">
            <v>Minuth</v>
          </cell>
          <cell r="I648" t="str">
            <v>Andreas</v>
          </cell>
          <cell r="J648" t="str">
            <v>Minuth   Andreas</v>
          </cell>
          <cell r="K648">
            <v>24104</v>
          </cell>
        </row>
        <row r="649">
          <cell r="D649">
            <v>90708</v>
          </cell>
          <cell r="E649" t="str">
            <v>NDS</v>
          </cell>
          <cell r="F649" t="str">
            <v>NDS  90708</v>
          </cell>
          <cell r="G649" t="str">
            <v>RTC Hildesheim I</v>
          </cell>
          <cell r="H649" t="str">
            <v>Mithöfer</v>
          </cell>
          <cell r="I649" t="str">
            <v>Carsten</v>
          </cell>
          <cell r="J649" t="str">
            <v>Mithöfer   Carsten</v>
          </cell>
          <cell r="K649">
            <v>23600</v>
          </cell>
        </row>
        <row r="650">
          <cell r="D650">
            <v>90709</v>
          </cell>
          <cell r="E650" t="str">
            <v>NDS</v>
          </cell>
          <cell r="F650" t="str">
            <v>NDS  90709</v>
          </cell>
          <cell r="G650" t="str">
            <v>RTC Hildesheim I</v>
          </cell>
          <cell r="H650" t="str">
            <v>Mithöfer</v>
          </cell>
          <cell r="I650" t="str">
            <v>Udo</v>
          </cell>
          <cell r="J650" t="str">
            <v>Mithöfer   Udo</v>
          </cell>
          <cell r="K650">
            <v>23600</v>
          </cell>
        </row>
        <row r="651">
          <cell r="D651">
            <v>92279</v>
          </cell>
          <cell r="E651" t="str">
            <v>NDS</v>
          </cell>
          <cell r="F651" t="str">
            <v>NDS  92279</v>
          </cell>
          <cell r="G651" t="str">
            <v>RVT Aschendorf</v>
          </cell>
          <cell r="H651" t="str">
            <v>Moeller</v>
          </cell>
          <cell r="I651" t="str">
            <v>Carina</v>
          </cell>
          <cell r="J651" t="str">
            <v>Moeller   Carina</v>
          </cell>
          <cell r="K651">
            <v>32341</v>
          </cell>
        </row>
        <row r="652">
          <cell r="D652">
            <v>212692</v>
          </cell>
          <cell r="E652" t="str">
            <v>RKB</v>
          </cell>
          <cell r="F652" t="str">
            <v>RKB  212692</v>
          </cell>
          <cell r="G652" t="str">
            <v>RSV Halle II</v>
          </cell>
          <cell r="H652" t="str">
            <v>Möhlenbrock</v>
          </cell>
          <cell r="I652" t="str">
            <v>Melanie</v>
          </cell>
          <cell r="J652" t="str">
            <v>Möhlenbrock   Melanie</v>
          </cell>
          <cell r="K652">
            <v>33890</v>
          </cell>
        </row>
        <row r="653">
          <cell r="D653">
            <v>10036223016</v>
          </cell>
          <cell r="E653" t="str">
            <v>NRW</v>
          </cell>
          <cell r="F653" t="str">
            <v>NRW  10036223016</v>
          </cell>
          <cell r="G653" t="str">
            <v>RSV Münster III</v>
          </cell>
          <cell r="H653" t="str">
            <v>Mohr</v>
          </cell>
          <cell r="I653" t="str">
            <v>Jacob</v>
          </cell>
          <cell r="J653" t="str">
            <v>Mohr   Jacob</v>
          </cell>
          <cell r="K653">
            <v>38116</v>
          </cell>
        </row>
        <row r="654">
          <cell r="D654">
            <v>10036183004</v>
          </cell>
          <cell r="E654" t="str">
            <v>NRW</v>
          </cell>
          <cell r="F654" t="str">
            <v>NRW  10036183004</v>
          </cell>
          <cell r="G654" t="str">
            <v>RSC Niedermehnen II</v>
          </cell>
          <cell r="H654" t="str">
            <v>Möller</v>
          </cell>
          <cell r="I654" t="str">
            <v>Benjamin</v>
          </cell>
          <cell r="J654" t="str">
            <v>Möller   Benjamin</v>
          </cell>
          <cell r="K654">
            <v>37804</v>
          </cell>
        </row>
        <row r="655">
          <cell r="D655">
            <v>10036222309</v>
          </cell>
          <cell r="E655" t="str">
            <v>NRW</v>
          </cell>
          <cell r="F655" t="str">
            <v>NRW  10036222309</v>
          </cell>
          <cell r="G655" t="str">
            <v>RSC Niedermehnen I a.K.</v>
          </cell>
          <cell r="H655" t="str">
            <v>Möller</v>
          </cell>
          <cell r="I655" t="str">
            <v>Jasmin</v>
          </cell>
          <cell r="J655" t="str">
            <v>Möller   Jasmin</v>
          </cell>
          <cell r="K655">
            <v>39080</v>
          </cell>
        </row>
        <row r="656">
          <cell r="D656">
            <v>92589</v>
          </cell>
          <cell r="E656" t="str">
            <v>NDS</v>
          </cell>
          <cell r="F656" t="str">
            <v>NDS  92589</v>
          </cell>
          <cell r="G656" t="str">
            <v>RVT Aschendorf</v>
          </cell>
          <cell r="H656" t="str">
            <v>Möller</v>
          </cell>
          <cell r="I656" t="str">
            <v>Mike</v>
          </cell>
          <cell r="J656" t="str">
            <v>Möller   Mike</v>
          </cell>
          <cell r="K656">
            <v>33574</v>
          </cell>
        </row>
        <row r="657">
          <cell r="D657">
            <v>10036394380</v>
          </cell>
          <cell r="E657" t="str">
            <v>NDS</v>
          </cell>
          <cell r="F657" t="str">
            <v>NDS  10036394380</v>
          </cell>
          <cell r="G657" t="str">
            <v>SG Gifhorn / Hannover</v>
          </cell>
          <cell r="H657" t="str">
            <v>Monecke</v>
          </cell>
          <cell r="I657" t="str">
            <v>Henry</v>
          </cell>
          <cell r="J657" t="str">
            <v>Monecke   Henry</v>
          </cell>
          <cell r="K657">
            <v>39768</v>
          </cell>
        </row>
        <row r="658">
          <cell r="D658">
            <v>77256</v>
          </cell>
          <cell r="E658" t="str">
            <v>HES</v>
          </cell>
          <cell r="F658" t="str">
            <v>HES  77256</v>
          </cell>
          <cell r="G658" t="str">
            <v>RVG Lollar I</v>
          </cell>
          <cell r="H658" t="str">
            <v>Moos</v>
          </cell>
          <cell r="I658" t="str">
            <v>Julia</v>
          </cell>
          <cell r="J658" t="str">
            <v>Moos   Julia</v>
          </cell>
          <cell r="K658">
            <v>32338</v>
          </cell>
        </row>
        <row r="659">
          <cell r="D659">
            <v>93612</v>
          </cell>
          <cell r="E659" t="str">
            <v>NDS</v>
          </cell>
          <cell r="F659" t="str">
            <v>NDS  93612</v>
          </cell>
          <cell r="G659" t="str">
            <v>RVM Bilshausen II</v>
          </cell>
          <cell r="H659" t="str">
            <v>Morgenstern</v>
          </cell>
          <cell r="I659" t="str">
            <v>Leander</v>
          </cell>
          <cell r="J659" t="str">
            <v>Morgenstern   Leander</v>
          </cell>
          <cell r="K659">
            <v>34243</v>
          </cell>
        </row>
        <row r="660">
          <cell r="D660">
            <v>94106</v>
          </cell>
          <cell r="E660" t="str">
            <v>NDS</v>
          </cell>
          <cell r="F660" t="str">
            <v>NDS  94106</v>
          </cell>
          <cell r="G660" t="str">
            <v>RVM Bilshausen II</v>
          </cell>
          <cell r="H660" t="str">
            <v>Morgenstern</v>
          </cell>
          <cell r="I660" t="str">
            <v>Lionel</v>
          </cell>
          <cell r="J660" t="str">
            <v>Morgenstern   Lionel</v>
          </cell>
          <cell r="K660">
            <v>35788</v>
          </cell>
        </row>
        <row r="661">
          <cell r="D661">
            <v>91359</v>
          </cell>
          <cell r="E661" t="str">
            <v>NDS</v>
          </cell>
          <cell r="F661" t="str">
            <v>NDS  91359</v>
          </cell>
          <cell r="G661" t="str">
            <v>RVS Obernfeld</v>
          </cell>
          <cell r="H661" t="str">
            <v>Morick</v>
          </cell>
          <cell r="I661" t="str">
            <v>Franziska</v>
          </cell>
          <cell r="J661" t="str">
            <v>Morick   Franziska</v>
          </cell>
          <cell r="K661">
            <v>32588</v>
          </cell>
        </row>
        <row r="662">
          <cell r="D662">
            <v>10075186906</v>
          </cell>
          <cell r="E662" t="str">
            <v>NDS</v>
          </cell>
          <cell r="F662" t="str">
            <v>NDS  10075186906</v>
          </cell>
          <cell r="G662" t="str">
            <v>RVS Obernfeld II</v>
          </cell>
          <cell r="H662" t="str">
            <v>Morick</v>
          </cell>
          <cell r="I662" t="str">
            <v>Marike</v>
          </cell>
          <cell r="J662" t="str">
            <v>Morick   Marike</v>
          </cell>
          <cell r="K662">
            <v>40004</v>
          </cell>
        </row>
        <row r="663">
          <cell r="D663">
            <v>10072001060</v>
          </cell>
          <cell r="E663" t="str">
            <v>NDS</v>
          </cell>
          <cell r="F663" t="str">
            <v>NDS  10072001060</v>
          </cell>
          <cell r="G663" t="str">
            <v>RVS Obernfeld I</v>
          </cell>
          <cell r="H663" t="str">
            <v>Morick</v>
          </cell>
          <cell r="I663" t="str">
            <v>Simon</v>
          </cell>
          <cell r="J663" t="str">
            <v>Morick   Simon</v>
          </cell>
          <cell r="K663">
            <v>40004</v>
          </cell>
        </row>
        <row r="664">
          <cell r="D664">
            <v>92297</v>
          </cell>
          <cell r="E664" t="str">
            <v>NDS</v>
          </cell>
          <cell r="F664" t="str">
            <v>NDS  92297</v>
          </cell>
          <cell r="G664" t="str">
            <v>RVS Obernfeld II</v>
          </cell>
          <cell r="H664" t="str">
            <v>Morick</v>
          </cell>
          <cell r="I664" t="str">
            <v>Victoria</v>
          </cell>
          <cell r="J664" t="str">
            <v>Morick   Victoria</v>
          </cell>
          <cell r="K664">
            <v>34148</v>
          </cell>
        </row>
        <row r="665">
          <cell r="D665">
            <v>603525</v>
          </cell>
          <cell r="E665" t="str">
            <v>NRW</v>
          </cell>
          <cell r="F665" t="str">
            <v>NRW  603525</v>
          </cell>
          <cell r="G665" t="str">
            <v>RSC Niedermehnen I</v>
          </cell>
          <cell r="H665" t="str">
            <v>Mösemeyer</v>
          </cell>
          <cell r="I665" t="str">
            <v>Maurice</v>
          </cell>
          <cell r="J665" t="str">
            <v>Mösemeyer   Maurice</v>
          </cell>
          <cell r="K665">
            <v>38254</v>
          </cell>
        </row>
        <row r="666">
          <cell r="D666">
            <v>10118992005</v>
          </cell>
          <cell r="E666" t="str">
            <v>NDS</v>
          </cell>
          <cell r="F666" t="str">
            <v>NDS  10118992005</v>
          </cell>
          <cell r="G666" t="str">
            <v>RVS Obernfeld III</v>
          </cell>
          <cell r="H666" t="str">
            <v>Moser</v>
          </cell>
          <cell r="I666" t="str">
            <v>Jaimie</v>
          </cell>
          <cell r="J666" t="str">
            <v>Moser   Jaimie</v>
          </cell>
          <cell r="K666">
            <v>39875</v>
          </cell>
        </row>
        <row r="667">
          <cell r="D667">
            <v>10054449720</v>
          </cell>
          <cell r="E667" t="str">
            <v>HES</v>
          </cell>
          <cell r="F667" t="str">
            <v>HES  10054449720</v>
          </cell>
          <cell r="G667" t="str">
            <v>RSV Krofdorf</v>
          </cell>
          <cell r="H667" t="str">
            <v>Möwes</v>
          </cell>
          <cell r="I667" t="str">
            <v>Moritz</v>
          </cell>
          <cell r="J667" t="str">
            <v>Möwes   Moritz</v>
          </cell>
          <cell r="K667">
            <v>39701</v>
          </cell>
        </row>
        <row r="668">
          <cell r="D668">
            <v>212691</v>
          </cell>
          <cell r="E668" t="str">
            <v>RKB</v>
          </cell>
          <cell r="F668" t="str">
            <v>RKB  212691</v>
          </cell>
          <cell r="G668" t="str">
            <v>RSV Halle IV</v>
          </cell>
          <cell r="H668" t="str">
            <v>Mues</v>
          </cell>
          <cell r="I668" t="str">
            <v>Katharina</v>
          </cell>
          <cell r="J668" t="str">
            <v>Mues   Katharina</v>
          </cell>
          <cell r="K668">
            <v>33788</v>
          </cell>
        </row>
        <row r="669">
          <cell r="D669">
            <v>10090010049</v>
          </cell>
          <cell r="E669" t="str">
            <v>NDS</v>
          </cell>
          <cell r="F669" t="str">
            <v>NDS  10090010049</v>
          </cell>
          <cell r="G669" t="str">
            <v>RSV Bramsche I U19</v>
          </cell>
          <cell r="H669" t="str">
            <v>Mügge</v>
          </cell>
          <cell r="I669" t="str">
            <v>Hinrich</v>
          </cell>
          <cell r="J669" t="str">
            <v>Mügge   Hinrich</v>
          </cell>
          <cell r="K669">
            <v>39726</v>
          </cell>
        </row>
        <row r="670">
          <cell r="D670">
            <v>10146426433</v>
          </cell>
          <cell r="E670" t="str">
            <v>NDS</v>
          </cell>
          <cell r="F670" t="str">
            <v>NDS  10146426433</v>
          </cell>
          <cell r="G670" t="str">
            <v>RVS Obernfeld I</v>
          </cell>
          <cell r="H670" t="str">
            <v>Mühe</v>
          </cell>
          <cell r="I670" t="str">
            <v>Jannes</v>
          </cell>
          <cell r="J670" t="str">
            <v>Mühe   Jannes</v>
          </cell>
          <cell r="K670">
            <v>40352</v>
          </cell>
        </row>
        <row r="671">
          <cell r="D671">
            <v>10074593788</v>
          </cell>
          <cell r="E671" t="str">
            <v>NDS</v>
          </cell>
          <cell r="F671" t="str">
            <v>NDS  10074593788</v>
          </cell>
          <cell r="G671" t="str">
            <v>RVS Obernfeld II</v>
          </cell>
          <cell r="H671" t="str">
            <v>Mühe </v>
          </cell>
          <cell r="I671" t="str">
            <v>Melissa</v>
          </cell>
          <cell r="J671" t="str">
            <v>Mühe    Melissa</v>
          </cell>
          <cell r="K671">
            <v>39776</v>
          </cell>
        </row>
        <row r="672">
          <cell r="D672">
            <v>90818</v>
          </cell>
          <cell r="E672" t="str">
            <v>NDS</v>
          </cell>
          <cell r="F672" t="str">
            <v>NDS  90818</v>
          </cell>
          <cell r="G672" t="str">
            <v>RV Etelsen II</v>
          </cell>
          <cell r="H672" t="str">
            <v>Mühlmeister</v>
          </cell>
          <cell r="I672" t="str">
            <v>Doris</v>
          </cell>
          <cell r="J672" t="str">
            <v>Mühlmeister   Doris</v>
          </cell>
          <cell r="K672">
            <v>27507</v>
          </cell>
        </row>
        <row r="673">
          <cell r="D673">
            <v>10050005100</v>
          </cell>
          <cell r="E673" t="str">
            <v>BRA</v>
          </cell>
          <cell r="F673" t="str">
            <v>BRA  10050005100</v>
          </cell>
          <cell r="G673" t="str">
            <v>RSV Großkoschen I</v>
          </cell>
          <cell r="H673" t="str">
            <v>Mulka</v>
          </cell>
          <cell r="I673" t="str">
            <v>Frederik</v>
          </cell>
          <cell r="J673" t="str">
            <v>Mulka   Frederik</v>
          </cell>
          <cell r="K673">
            <v>36703</v>
          </cell>
        </row>
        <row r="674">
          <cell r="D674">
            <v>10036394481</v>
          </cell>
          <cell r="E674" t="str">
            <v>NDS</v>
          </cell>
          <cell r="F674" t="str">
            <v>NDS  10036394481</v>
          </cell>
          <cell r="G674" t="str">
            <v>RV Etelsen I</v>
          </cell>
          <cell r="H674" t="str">
            <v>Müller</v>
          </cell>
          <cell r="I674" t="str">
            <v>Anika</v>
          </cell>
          <cell r="J674" t="str">
            <v>Müller   Anika</v>
          </cell>
          <cell r="K674">
            <v>30503</v>
          </cell>
        </row>
        <row r="675">
          <cell r="D675">
            <v>44304</v>
          </cell>
          <cell r="E675" t="str">
            <v>BRA</v>
          </cell>
          <cell r="F675" t="str">
            <v>BRA  44304</v>
          </cell>
          <cell r="G675" t="str">
            <v>RSV Großkoschen III</v>
          </cell>
          <cell r="H675" t="str">
            <v>Müller</v>
          </cell>
          <cell r="I675" t="str">
            <v>Felix</v>
          </cell>
          <cell r="J675" t="str">
            <v>Müller   Felix</v>
          </cell>
          <cell r="K675">
            <v>36298</v>
          </cell>
        </row>
        <row r="676">
          <cell r="D676">
            <v>98369</v>
          </cell>
          <cell r="E676" t="str">
            <v>NDS</v>
          </cell>
          <cell r="F676" t="str">
            <v>NDS  98369</v>
          </cell>
          <cell r="G676" t="str">
            <v>RSVL Gifhorn II</v>
          </cell>
          <cell r="H676" t="str">
            <v>Müller</v>
          </cell>
          <cell r="I676" t="str">
            <v>Kilian</v>
          </cell>
          <cell r="J676" t="str">
            <v>Müller   Kilian</v>
          </cell>
          <cell r="K676">
            <v>35917</v>
          </cell>
        </row>
        <row r="677">
          <cell r="D677">
            <v>10036394178</v>
          </cell>
          <cell r="E677" t="str">
            <v>NDS</v>
          </cell>
          <cell r="F677" t="str">
            <v>NDS  10036394178</v>
          </cell>
          <cell r="G677" t="str">
            <v>RVM Bilshausen III</v>
          </cell>
          <cell r="H677" t="str">
            <v>Müller</v>
          </cell>
          <cell r="I677" t="str">
            <v>Nils</v>
          </cell>
          <cell r="J677" t="str">
            <v>Müller   Nils</v>
          </cell>
          <cell r="K677">
            <v>33890</v>
          </cell>
        </row>
        <row r="678">
          <cell r="D678">
            <v>707200</v>
          </cell>
          <cell r="E678" t="str">
            <v>BRA</v>
          </cell>
          <cell r="F678" t="str">
            <v>BRA  707200</v>
          </cell>
          <cell r="G678" t="str">
            <v>RSV Großkoschen</v>
          </cell>
          <cell r="H678" t="str">
            <v>Müller</v>
          </cell>
          <cell r="I678" t="str">
            <v>Oscar</v>
          </cell>
          <cell r="J678" t="str">
            <v>Müller   Oscar</v>
          </cell>
          <cell r="K678">
            <v>39086</v>
          </cell>
        </row>
        <row r="679">
          <cell r="D679">
            <v>90634</v>
          </cell>
          <cell r="E679" t="str">
            <v>NDS</v>
          </cell>
          <cell r="F679" t="str">
            <v>NDS  90634</v>
          </cell>
          <cell r="G679" t="str">
            <v>RV Etelsen III</v>
          </cell>
          <cell r="H679" t="str">
            <v>Müller</v>
          </cell>
          <cell r="I679" t="str">
            <v>Sabine</v>
          </cell>
          <cell r="J679" t="str">
            <v>Müller   Sabine</v>
          </cell>
          <cell r="K679">
            <v>22299</v>
          </cell>
        </row>
        <row r="680">
          <cell r="D680">
            <v>95920</v>
          </cell>
          <cell r="E680" t="str">
            <v>NDS</v>
          </cell>
          <cell r="F680" t="str">
            <v>NDS  95920</v>
          </cell>
          <cell r="G680" t="str">
            <v>RCG Hahndorf I</v>
          </cell>
          <cell r="H680" t="str">
            <v>Müller</v>
          </cell>
          <cell r="I680" t="str">
            <v>Torben</v>
          </cell>
          <cell r="J680" t="str">
            <v>Müller   Torben</v>
          </cell>
          <cell r="K680">
            <v>36608</v>
          </cell>
        </row>
        <row r="681">
          <cell r="D681">
            <v>1006270506</v>
          </cell>
          <cell r="E681" t="str">
            <v>HES</v>
          </cell>
          <cell r="F681" t="str">
            <v>HES  1006270506</v>
          </cell>
          <cell r="G681" t="str">
            <v>RVW Naurod </v>
          </cell>
          <cell r="H681" t="str">
            <v>Mundorff</v>
          </cell>
          <cell r="I681" t="str">
            <v>Peter</v>
          </cell>
          <cell r="J681" t="str">
            <v>Mundorff   Peter</v>
          </cell>
          <cell r="K681">
            <v>37907</v>
          </cell>
        </row>
        <row r="682">
          <cell r="D682">
            <v>81159</v>
          </cell>
          <cell r="E682" t="str">
            <v>MEV</v>
          </cell>
          <cell r="F682" t="str">
            <v>MEV  81159</v>
          </cell>
          <cell r="G682" t="str">
            <v>SVW Lüblow</v>
          </cell>
          <cell r="H682" t="str">
            <v>Mundt</v>
          </cell>
          <cell r="I682" t="str">
            <v>Johannes</v>
          </cell>
          <cell r="J682" t="str">
            <v>Mundt   Johannes</v>
          </cell>
          <cell r="K682">
            <v>35683</v>
          </cell>
        </row>
        <row r="683">
          <cell r="D683">
            <v>10046176630</v>
          </cell>
          <cell r="E683" t="str">
            <v>BRE</v>
          </cell>
          <cell r="F683" t="str">
            <v>BRE  10046176630</v>
          </cell>
          <cell r="G683" t="str">
            <v>RVS Oberneuland IV</v>
          </cell>
          <cell r="H683" t="str">
            <v>Münster</v>
          </cell>
          <cell r="I683" t="str">
            <v>Daniel</v>
          </cell>
          <cell r="J683" t="str">
            <v>Münster   Daniel</v>
          </cell>
          <cell r="K683">
            <v>37156</v>
          </cell>
        </row>
        <row r="684">
          <cell r="D684">
            <v>51049</v>
          </cell>
          <cell r="E684" t="str">
            <v>BRE</v>
          </cell>
          <cell r="F684" t="str">
            <v>BRE  51049</v>
          </cell>
          <cell r="G684" t="str">
            <v>RV Schorf-Oberneuland I a.K.</v>
          </cell>
          <cell r="H684" t="str">
            <v>Münsterberg</v>
          </cell>
          <cell r="I684" t="str">
            <v>Nico</v>
          </cell>
          <cell r="J684" t="str">
            <v>Münsterberg   Nico</v>
          </cell>
          <cell r="K684">
            <v>35289</v>
          </cell>
        </row>
        <row r="685">
          <cell r="D685">
            <v>212374</v>
          </cell>
          <cell r="E685" t="str">
            <v>RKB</v>
          </cell>
          <cell r="F685" t="str">
            <v>RKB  212374</v>
          </cell>
          <cell r="G685" t="str">
            <v>RSV Halle I</v>
          </cell>
          <cell r="H685" t="str">
            <v>Mußmann</v>
          </cell>
          <cell r="I685" t="str">
            <v>Lena</v>
          </cell>
          <cell r="J685" t="str">
            <v>Mußmann   Lena</v>
          </cell>
          <cell r="K685">
            <v>33348</v>
          </cell>
        </row>
        <row r="686">
          <cell r="D686">
            <v>212105</v>
          </cell>
          <cell r="E686" t="str">
            <v>RKB</v>
          </cell>
          <cell r="F686" t="str">
            <v>RKB  212105</v>
          </cell>
          <cell r="G686" t="str">
            <v>RSV Halle VI</v>
          </cell>
          <cell r="H686" t="str">
            <v>Mußmann</v>
          </cell>
          <cell r="I686" t="str">
            <v>Lisa</v>
          </cell>
          <cell r="J686" t="str">
            <v>Mußmann   Lisa</v>
          </cell>
          <cell r="K686">
            <v>32677</v>
          </cell>
        </row>
        <row r="687">
          <cell r="D687">
            <v>215046</v>
          </cell>
          <cell r="E687" t="str">
            <v>RKB</v>
          </cell>
          <cell r="F687" t="str">
            <v>RKB  215046</v>
          </cell>
          <cell r="G687" t="str">
            <v>RSV Bramsche V</v>
          </cell>
          <cell r="H687" t="str">
            <v>Nardmann</v>
          </cell>
          <cell r="I687" t="str">
            <v>Felix</v>
          </cell>
          <cell r="J687" t="str">
            <v>Nardmann   Felix</v>
          </cell>
          <cell r="K687">
            <v>35556</v>
          </cell>
        </row>
        <row r="688">
          <cell r="D688">
            <v>10075501144</v>
          </cell>
          <cell r="E688" t="str">
            <v>BRA</v>
          </cell>
          <cell r="F688" t="str">
            <v>BRA  10075501144</v>
          </cell>
          <cell r="G688" t="str">
            <v>SGS Luckenwalde</v>
          </cell>
          <cell r="H688" t="str">
            <v>Nestler</v>
          </cell>
          <cell r="I688" t="str">
            <v>Paul</v>
          </cell>
          <cell r="J688" t="str">
            <v>Nestler   Paul</v>
          </cell>
          <cell r="K688">
            <v>39211</v>
          </cell>
        </row>
        <row r="689">
          <cell r="D689">
            <v>141617</v>
          </cell>
          <cell r="E689" t="str">
            <v>SAH</v>
          </cell>
          <cell r="F689" t="str">
            <v>SAH  141617</v>
          </cell>
          <cell r="G689" t="str">
            <v>Tollwitzer RSV II</v>
          </cell>
          <cell r="H689" t="str">
            <v>Neuber</v>
          </cell>
          <cell r="I689" t="str">
            <v>Theresa</v>
          </cell>
          <cell r="J689" t="str">
            <v>Neuber   Theresa</v>
          </cell>
          <cell r="K689">
            <v>35459</v>
          </cell>
        </row>
        <row r="690">
          <cell r="D690">
            <v>10136705215</v>
          </cell>
          <cell r="E690" t="str">
            <v>RKB</v>
          </cell>
          <cell r="F690" t="str">
            <v>RKB  10136705215</v>
          </cell>
          <cell r="G690" t="str">
            <v>RSV Halle II</v>
          </cell>
          <cell r="H690" t="str">
            <v>Niebuhr</v>
          </cell>
          <cell r="I690" t="str">
            <v>Lotta Marie</v>
          </cell>
          <cell r="J690" t="str">
            <v>Niebuhr   Lotta Marie</v>
          </cell>
          <cell r="K690">
            <v>41381</v>
          </cell>
        </row>
        <row r="691">
          <cell r="D691">
            <v>213690</v>
          </cell>
          <cell r="E691" t="str">
            <v>RKB</v>
          </cell>
          <cell r="F691" t="str">
            <v>RKB  213690</v>
          </cell>
          <cell r="G691" t="str">
            <v>SC Woltringhausen II</v>
          </cell>
          <cell r="H691" t="str">
            <v>Niehaus</v>
          </cell>
          <cell r="I691" t="str">
            <v>Saskia</v>
          </cell>
          <cell r="J691" t="str">
            <v>Niehaus   Saskia</v>
          </cell>
          <cell r="K691">
            <v>34190</v>
          </cell>
        </row>
        <row r="692">
          <cell r="D692">
            <v>212681</v>
          </cell>
          <cell r="E692" t="str">
            <v>RKB</v>
          </cell>
          <cell r="F692" t="str">
            <v>RKB  212681</v>
          </cell>
          <cell r="G692" t="str">
            <v>RSV Halle III</v>
          </cell>
          <cell r="H692" t="str">
            <v>Niemann</v>
          </cell>
          <cell r="I692" t="str">
            <v>Ernst-Dieter</v>
          </cell>
          <cell r="J692" t="str">
            <v>Niemann   Ernst-Dieter</v>
          </cell>
          <cell r="K692">
            <v>21585</v>
          </cell>
        </row>
        <row r="693">
          <cell r="D693">
            <v>210886</v>
          </cell>
          <cell r="E693" t="str">
            <v>RKB</v>
          </cell>
          <cell r="F693" t="str">
            <v>RKB  210886</v>
          </cell>
          <cell r="G693" t="str">
            <v>RSV Halle I</v>
          </cell>
          <cell r="H693" t="str">
            <v>Niemann</v>
          </cell>
          <cell r="I693" t="str">
            <v>Melanie</v>
          </cell>
          <cell r="J693" t="str">
            <v>Niemann   Melanie</v>
          </cell>
          <cell r="K693">
            <v>30852</v>
          </cell>
        </row>
        <row r="694">
          <cell r="D694">
            <v>210634</v>
          </cell>
          <cell r="E694" t="str">
            <v>RKB</v>
          </cell>
          <cell r="F694" t="str">
            <v>RKB  210634</v>
          </cell>
          <cell r="G694" t="str">
            <v>RKB Hameln</v>
          </cell>
          <cell r="H694" t="str">
            <v>Niemeier</v>
          </cell>
          <cell r="I694" t="str">
            <v>Wieland</v>
          </cell>
          <cell r="J694" t="str">
            <v>Niemeier   Wieland</v>
          </cell>
          <cell r="K694">
            <v>23240</v>
          </cell>
        </row>
        <row r="695">
          <cell r="D695">
            <v>93396</v>
          </cell>
          <cell r="E695" t="str">
            <v>NDS</v>
          </cell>
          <cell r="F695" t="str">
            <v>NDS  93396</v>
          </cell>
          <cell r="G695" t="str">
            <v>TSV Barrien I</v>
          </cell>
          <cell r="H695" t="str">
            <v>Nienaber</v>
          </cell>
          <cell r="I695" t="str">
            <v>Kris Ole</v>
          </cell>
          <cell r="J695" t="str">
            <v>Nienaber   Kris Ole</v>
          </cell>
          <cell r="K695">
            <v>34703</v>
          </cell>
        </row>
        <row r="696">
          <cell r="D696">
            <v>10046230180</v>
          </cell>
          <cell r="E696" t="str">
            <v>SAH</v>
          </cell>
          <cell r="F696" t="str">
            <v>SAH  10046230180</v>
          </cell>
          <cell r="G696" t="str">
            <v>Reideburger SV </v>
          </cell>
          <cell r="H696" t="str">
            <v>Niendorf</v>
          </cell>
          <cell r="I696" t="str">
            <v>Christian</v>
          </cell>
          <cell r="J696" t="str">
            <v>Niendorf   Christian</v>
          </cell>
          <cell r="K696">
            <v>34255</v>
          </cell>
        </row>
        <row r="697">
          <cell r="D697">
            <v>10051784240</v>
          </cell>
          <cell r="E697" t="str">
            <v>NDS</v>
          </cell>
          <cell r="F697" t="str">
            <v>NDS  10051784240</v>
          </cell>
          <cell r="G697" t="str">
            <v>RSVL Gifhorn I</v>
          </cell>
          <cell r="H697" t="str">
            <v>Nikoladze</v>
          </cell>
          <cell r="I697" t="str">
            <v>Leonard</v>
          </cell>
          <cell r="J697" t="str">
            <v>Nikoladze   Leonard</v>
          </cell>
          <cell r="K697">
            <v>38673</v>
          </cell>
        </row>
        <row r="698">
          <cell r="D698">
            <v>714071</v>
          </cell>
          <cell r="E698" t="str">
            <v>NDS</v>
          </cell>
          <cell r="F698" t="str">
            <v>NDS  714071</v>
          </cell>
          <cell r="G698" t="str">
            <v>RV Warfleth II a.K.</v>
          </cell>
          <cell r="H698" t="str">
            <v>Nikolopoulos</v>
          </cell>
          <cell r="I698" t="str">
            <v>Jannis</v>
          </cell>
          <cell r="J698" t="str">
            <v>Nikolopoulos   Jannis</v>
          </cell>
          <cell r="K698">
            <v>38233</v>
          </cell>
        </row>
        <row r="699">
          <cell r="D699">
            <v>10051765446</v>
          </cell>
          <cell r="E699" t="str">
            <v>NDS</v>
          </cell>
          <cell r="F699" t="str">
            <v>NDS  10051765446</v>
          </cell>
          <cell r="G699" t="str">
            <v>RSVL Gifhorn III</v>
          </cell>
          <cell r="H699" t="str">
            <v>Nilßon</v>
          </cell>
          <cell r="I699" t="str">
            <v>Domenik</v>
          </cell>
          <cell r="J699" t="str">
            <v>Nilßon   Domenik</v>
          </cell>
          <cell r="K699">
            <v>35181</v>
          </cell>
        </row>
        <row r="700">
          <cell r="D700">
            <v>10054450932</v>
          </cell>
          <cell r="E700" t="str">
            <v>NDS</v>
          </cell>
          <cell r="F700" t="str">
            <v>NDS  10054450932</v>
          </cell>
          <cell r="G700" t="str">
            <v>RSVL Gifhorn II</v>
          </cell>
          <cell r="H700" t="str">
            <v>Nilßon</v>
          </cell>
          <cell r="I700" t="str">
            <v>Maxemilian</v>
          </cell>
          <cell r="J700" t="str">
            <v>Nilßon   Maxemilian</v>
          </cell>
          <cell r="K700">
            <v>35181</v>
          </cell>
        </row>
        <row r="701">
          <cell r="D701">
            <v>141349</v>
          </cell>
          <cell r="E701" t="str">
            <v>SAH</v>
          </cell>
          <cell r="F701" t="str">
            <v>SAH  141349</v>
          </cell>
          <cell r="G701" t="str">
            <v>Tollwitzer RSV</v>
          </cell>
          <cell r="H701" t="str">
            <v>Noack</v>
          </cell>
          <cell r="I701" t="str">
            <v>Andrea</v>
          </cell>
          <cell r="J701" t="str">
            <v>Noack   Andrea</v>
          </cell>
          <cell r="K701">
            <v>33626</v>
          </cell>
        </row>
        <row r="702">
          <cell r="D702">
            <v>210635</v>
          </cell>
          <cell r="E702" t="str">
            <v>RKB</v>
          </cell>
          <cell r="F702" t="str">
            <v>RKB  210635</v>
          </cell>
          <cell r="G702" t="str">
            <v>RKB Hameln</v>
          </cell>
          <cell r="H702" t="str">
            <v>Noack</v>
          </cell>
          <cell r="I702" t="str">
            <v>Eckhard</v>
          </cell>
          <cell r="J702" t="str">
            <v>Noack   Eckhard</v>
          </cell>
          <cell r="K702">
            <v>20728</v>
          </cell>
        </row>
        <row r="703">
          <cell r="D703">
            <v>213194</v>
          </cell>
          <cell r="E703" t="str">
            <v>RKB</v>
          </cell>
          <cell r="F703" t="str">
            <v>RKB  213194</v>
          </cell>
          <cell r="G703" t="str">
            <v>RSV Bramsche II</v>
          </cell>
          <cell r="H703" t="str">
            <v>Noack</v>
          </cell>
          <cell r="I703" t="str">
            <v>Florian</v>
          </cell>
          <cell r="J703" t="str">
            <v>Noack   Florian</v>
          </cell>
          <cell r="K703">
            <v>33784</v>
          </cell>
        </row>
        <row r="704">
          <cell r="D704">
            <v>141960</v>
          </cell>
          <cell r="E704" t="str">
            <v>SAH</v>
          </cell>
          <cell r="F704" t="str">
            <v>SAH  141960</v>
          </cell>
          <cell r="G704" t="str">
            <v>Tollwitzer RSV II</v>
          </cell>
          <cell r="H704" t="str">
            <v>Noack</v>
          </cell>
          <cell r="I704" t="str">
            <v>Jessica</v>
          </cell>
          <cell r="J704" t="str">
            <v>Noack   Jessica</v>
          </cell>
          <cell r="K704">
            <v>36227</v>
          </cell>
        </row>
        <row r="705">
          <cell r="D705">
            <v>213650</v>
          </cell>
          <cell r="E705" t="str">
            <v>RKB</v>
          </cell>
          <cell r="F705" t="str">
            <v>RKB  213650</v>
          </cell>
          <cell r="G705" t="str">
            <v>RSV Bramsche III</v>
          </cell>
          <cell r="H705" t="str">
            <v>Noack</v>
          </cell>
          <cell r="I705" t="str">
            <v>Lukas</v>
          </cell>
          <cell r="J705" t="str">
            <v>Noack   Lukas</v>
          </cell>
          <cell r="K705">
            <v>34726</v>
          </cell>
        </row>
        <row r="706">
          <cell r="D706">
            <v>10045886640</v>
          </cell>
          <cell r="E706" t="str">
            <v>BRA</v>
          </cell>
          <cell r="F706" t="str">
            <v>BRA  10045886640</v>
          </cell>
          <cell r="G706" t="str">
            <v>RSV Großkoschen II</v>
          </cell>
          <cell r="H706" t="str">
            <v>Noatnick</v>
          </cell>
          <cell r="I706" t="str">
            <v>Torben</v>
          </cell>
          <cell r="J706" t="str">
            <v>Noatnick   Torben</v>
          </cell>
          <cell r="K706">
            <v>38162</v>
          </cell>
        </row>
        <row r="707">
          <cell r="D707">
            <v>10036211393</v>
          </cell>
          <cell r="E707" t="str">
            <v>NRW</v>
          </cell>
          <cell r="F707" t="str">
            <v>NRW  10036211393</v>
          </cell>
          <cell r="G707" t="str">
            <v>RSC Niedermehnen II</v>
          </cell>
          <cell r="H707" t="str">
            <v>Nobbe</v>
          </cell>
          <cell r="I707" t="str">
            <v>Inga</v>
          </cell>
          <cell r="J707" t="str">
            <v>Nobbe   Inga</v>
          </cell>
          <cell r="K707">
            <v>39248</v>
          </cell>
        </row>
        <row r="708">
          <cell r="D708">
            <v>600134</v>
          </cell>
          <cell r="E708" t="str">
            <v>NRW</v>
          </cell>
          <cell r="F708" t="str">
            <v>NRW  600134</v>
          </cell>
          <cell r="G708" t="str">
            <v>RSV Schwalbe Oelde I</v>
          </cell>
          <cell r="H708" t="str">
            <v>Noll</v>
          </cell>
          <cell r="I708" t="str">
            <v>Christian</v>
          </cell>
          <cell r="J708" t="str">
            <v>Noll   Christian</v>
          </cell>
          <cell r="K708">
            <v>33889</v>
          </cell>
        </row>
        <row r="709">
          <cell r="D709">
            <v>93613</v>
          </cell>
          <cell r="E709" t="str">
            <v>NDS</v>
          </cell>
          <cell r="F709" t="str">
            <v>NDS  93613</v>
          </cell>
          <cell r="G709" t="str">
            <v>RVM Bilshausen III</v>
          </cell>
          <cell r="H709" t="str">
            <v>Nordmann</v>
          </cell>
          <cell r="I709" t="str">
            <v>Marcel</v>
          </cell>
          <cell r="J709" t="str">
            <v>Nordmann   Marcel</v>
          </cell>
          <cell r="K709">
            <v>34893</v>
          </cell>
        </row>
        <row r="710">
          <cell r="D710">
            <v>95414</v>
          </cell>
          <cell r="E710" t="str">
            <v>NDS</v>
          </cell>
          <cell r="F710" t="str">
            <v>NDS  95414</v>
          </cell>
          <cell r="G710" t="str">
            <v>RVS Obernfeld</v>
          </cell>
          <cell r="H710" t="str">
            <v>Nordmann</v>
          </cell>
          <cell r="I710" t="str">
            <v>Sandra</v>
          </cell>
          <cell r="J710" t="str">
            <v>Nordmann   Sandra</v>
          </cell>
          <cell r="K710">
            <v>32843</v>
          </cell>
        </row>
        <row r="711">
          <cell r="D711">
            <v>95137</v>
          </cell>
          <cell r="E711" t="str">
            <v>NDS</v>
          </cell>
          <cell r="F711" t="str">
            <v>NDS  95137</v>
          </cell>
          <cell r="G711" t="str">
            <v>RTC Hildesheim </v>
          </cell>
          <cell r="H711" t="str">
            <v>Nordsiek</v>
          </cell>
          <cell r="I711" t="str">
            <v>Niels</v>
          </cell>
          <cell r="J711" t="str">
            <v>Nordsiek   Niels</v>
          </cell>
          <cell r="K711">
            <v>36707</v>
          </cell>
        </row>
        <row r="712">
          <cell r="D712">
            <v>213466</v>
          </cell>
          <cell r="E712" t="str">
            <v>RKB</v>
          </cell>
          <cell r="F712" t="str">
            <v>RKB  213466</v>
          </cell>
          <cell r="G712" t="str">
            <v>RSV Frellstedt II</v>
          </cell>
          <cell r="H712" t="str">
            <v>Nothdurft</v>
          </cell>
          <cell r="I712" t="str">
            <v>Sabrina</v>
          </cell>
          <cell r="J712" t="str">
            <v>Nothdurft   Sabrina</v>
          </cell>
          <cell r="K712">
            <v>34359</v>
          </cell>
        </row>
        <row r="713">
          <cell r="D713">
            <v>97069</v>
          </cell>
          <cell r="E713" t="str">
            <v>NDS</v>
          </cell>
          <cell r="F713" t="str">
            <v>NDS  97069</v>
          </cell>
          <cell r="G713" t="str">
            <v>RSVL Gifhorn I</v>
          </cell>
          <cell r="H713" t="str">
            <v>Ochsner</v>
          </cell>
          <cell r="I713" t="str">
            <v>Martin</v>
          </cell>
          <cell r="J713" t="str">
            <v>Ochsner   Martin</v>
          </cell>
          <cell r="K713">
            <v>36049</v>
          </cell>
        </row>
        <row r="714">
          <cell r="D714">
            <v>91654</v>
          </cell>
          <cell r="E714" t="str">
            <v>NDS</v>
          </cell>
          <cell r="F714" t="str">
            <v>NDS  91654</v>
          </cell>
          <cell r="G714" t="str">
            <v>RVW Gieboldehausen</v>
          </cell>
          <cell r="H714" t="str">
            <v>Oehne</v>
          </cell>
          <cell r="I714" t="str">
            <v>Sascha</v>
          </cell>
          <cell r="J714" t="str">
            <v>Oehne   Sascha</v>
          </cell>
          <cell r="K714">
            <v>32670</v>
          </cell>
        </row>
        <row r="715">
          <cell r="D715">
            <v>210887</v>
          </cell>
          <cell r="E715" t="str">
            <v>RKB</v>
          </cell>
          <cell r="F715" t="str">
            <v>RKB  210887</v>
          </cell>
          <cell r="G715" t="str">
            <v>RSV Halle I</v>
          </cell>
          <cell r="H715" t="str">
            <v>Oetting</v>
          </cell>
          <cell r="I715" t="str">
            <v>Andrea</v>
          </cell>
          <cell r="J715" t="str">
            <v>Oetting   Andrea</v>
          </cell>
          <cell r="K715">
            <v>30877</v>
          </cell>
        </row>
        <row r="716">
          <cell r="D716">
            <v>210889</v>
          </cell>
          <cell r="E716" t="str">
            <v>RKB</v>
          </cell>
          <cell r="F716" t="str">
            <v>RKB  210889</v>
          </cell>
          <cell r="G716" t="str">
            <v>RSV Halle IV</v>
          </cell>
          <cell r="H716" t="str">
            <v>Oetting</v>
          </cell>
          <cell r="I716" t="str">
            <v>Claudia</v>
          </cell>
          <cell r="J716" t="str">
            <v>Oetting   Claudia</v>
          </cell>
          <cell r="K716">
            <v>31828</v>
          </cell>
        </row>
        <row r="717">
          <cell r="D717">
            <v>214761</v>
          </cell>
          <cell r="E717" t="str">
            <v>RKB</v>
          </cell>
          <cell r="F717" t="str">
            <v>RKB  214761</v>
          </cell>
          <cell r="G717" t="str">
            <v>RSV Frellstedt III</v>
          </cell>
          <cell r="H717" t="str">
            <v>Ohse</v>
          </cell>
          <cell r="I717" t="str">
            <v>Natalie</v>
          </cell>
          <cell r="J717" t="str">
            <v>Ohse   Natalie</v>
          </cell>
          <cell r="K717">
            <v>36035</v>
          </cell>
        </row>
        <row r="718">
          <cell r="D718">
            <v>141746</v>
          </cell>
          <cell r="E718" t="str">
            <v>SAH</v>
          </cell>
          <cell r="F718" t="str">
            <v>SAH  141746</v>
          </cell>
          <cell r="G718" t="str">
            <v>Tollwitzer RSV I</v>
          </cell>
          <cell r="H718" t="str">
            <v>Opitz</v>
          </cell>
          <cell r="I718" t="str">
            <v>Caroline</v>
          </cell>
          <cell r="J718" t="str">
            <v>Opitz   Caroline</v>
          </cell>
          <cell r="K718">
            <v>35081</v>
          </cell>
        </row>
        <row r="719">
          <cell r="D719">
            <v>607796</v>
          </cell>
          <cell r="E719" t="str">
            <v>NRW</v>
          </cell>
          <cell r="F719" t="str">
            <v>NRW  607796</v>
          </cell>
          <cell r="G719" t="str">
            <v>RSV Schwalbe Oelde</v>
          </cell>
          <cell r="H719" t="str">
            <v>Overbeck</v>
          </cell>
          <cell r="I719" t="str">
            <v>Nicole</v>
          </cell>
          <cell r="J719" t="str">
            <v>Overbeck   Nicole</v>
          </cell>
          <cell r="K719">
            <v>36557</v>
          </cell>
        </row>
        <row r="720">
          <cell r="D720">
            <v>10043812254</v>
          </cell>
          <cell r="E720" t="str">
            <v>RKB</v>
          </cell>
          <cell r="F720" t="str">
            <v>RKB  10043812254</v>
          </cell>
          <cell r="G720" t="str">
            <v>RSV Frellstedt I</v>
          </cell>
          <cell r="H720" t="str">
            <v>Packhäuser</v>
          </cell>
          <cell r="I720" t="str">
            <v>Lea - Sophie</v>
          </cell>
          <cell r="J720" t="str">
            <v>Packhäuser   Lea - Sophie</v>
          </cell>
          <cell r="K720">
            <v>39982</v>
          </cell>
        </row>
        <row r="721">
          <cell r="D721">
            <v>10043824479</v>
          </cell>
          <cell r="E721" t="str">
            <v>RKB</v>
          </cell>
          <cell r="F721" t="str">
            <v>RKB  10043824479</v>
          </cell>
          <cell r="G721" t="str">
            <v>RSV Frellstedt I</v>
          </cell>
          <cell r="H721" t="str">
            <v>Packhäuser</v>
          </cell>
          <cell r="I721" t="str">
            <v>Marcus</v>
          </cell>
          <cell r="J721" t="str">
            <v>Packhäuser   Marcus</v>
          </cell>
          <cell r="K721">
            <v>27916</v>
          </cell>
        </row>
        <row r="722">
          <cell r="D722">
            <v>90710</v>
          </cell>
          <cell r="E722" t="str">
            <v>NDS</v>
          </cell>
          <cell r="F722" t="str">
            <v>NDS  90710</v>
          </cell>
          <cell r="G722" t="str">
            <v>RTC Hildesheim</v>
          </cell>
          <cell r="H722" t="str">
            <v>Pape</v>
          </cell>
          <cell r="I722" t="str">
            <v>Manuela</v>
          </cell>
          <cell r="J722" t="str">
            <v>Pape   Manuela</v>
          </cell>
          <cell r="K722">
            <v>27491</v>
          </cell>
        </row>
        <row r="723">
          <cell r="D723">
            <v>10107407070</v>
          </cell>
          <cell r="E723" t="str">
            <v>NDS</v>
          </cell>
          <cell r="F723" t="str">
            <v>NDS  10107407070</v>
          </cell>
          <cell r="G723" t="str">
            <v>RCT Hannover V</v>
          </cell>
          <cell r="H723" t="str">
            <v>Paßora</v>
          </cell>
          <cell r="I723" t="str">
            <v>Mike</v>
          </cell>
          <cell r="J723" t="str">
            <v>Paßora   Mike</v>
          </cell>
          <cell r="K723">
            <v>26387</v>
          </cell>
        </row>
        <row r="724">
          <cell r="D724">
            <v>10090010050</v>
          </cell>
          <cell r="E724" t="str">
            <v>NDS</v>
          </cell>
          <cell r="F724" t="str">
            <v>NDS  10090010050</v>
          </cell>
          <cell r="G724" t="str">
            <v>RCG Hahndorf I</v>
          </cell>
          <cell r="H724" t="str">
            <v>Pätz</v>
          </cell>
          <cell r="I724" t="str">
            <v>Yannic</v>
          </cell>
          <cell r="J724" t="str">
            <v>Pätz   Yannic</v>
          </cell>
          <cell r="K724">
            <v>40801</v>
          </cell>
        </row>
        <row r="725">
          <cell r="D725">
            <v>711312</v>
          </cell>
          <cell r="E725" t="str">
            <v>BRA</v>
          </cell>
          <cell r="F725" t="str">
            <v>BRA  711312</v>
          </cell>
          <cell r="G725" t="str">
            <v>RSV Großkoschen</v>
          </cell>
          <cell r="H725" t="str">
            <v>Pätzold</v>
          </cell>
          <cell r="I725" t="str">
            <v>Paul</v>
          </cell>
          <cell r="J725" t="str">
            <v>Pätzold   Paul</v>
          </cell>
          <cell r="K725">
            <v>39050</v>
          </cell>
        </row>
        <row r="726">
          <cell r="D726">
            <v>142033</v>
          </cell>
          <cell r="E726" t="str">
            <v>SAH</v>
          </cell>
          <cell r="F726" t="str">
            <v>SAH  142033</v>
          </cell>
          <cell r="G726" t="str">
            <v>HSV Colbitz</v>
          </cell>
          <cell r="H726" t="str">
            <v>Peine</v>
          </cell>
          <cell r="I726" t="str">
            <v>Lisa</v>
          </cell>
          <cell r="J726" t="str">
            <v>Peine   Lisa</v>
          </cell>
          <cell r="K726">
            <v>36661</v>
          </cell>
        </row>
        <row r="727">
          <cell r="D727">
            <v>213217</v>
          </cell>
          <cell r="E727" t="str">
            <v>RKB</v>
          </cell>
          <cell r="F727" t="str">
            <v>RKB  213217</v>
          </cell>
          <cell r="G727" t="str">
            <v>RKV Bad Lauterberg </v>
          </cell>
          <cell r="H727" t="str">
            <v>Peix</v>
          </cell>
          <cell r="I727" t="str">
            <v>Viktoria</v>
          </cell>
          <cell r="J727" t="str">
            <v>Peix   Viktoria</v>
          </cell>
          <cell r="K727">
            <v>33152</v>
          </cell>
        </row>
        <row r="728">
          <cell r="D728">
            <v>10036204525</v>
          </cell>
          <cell r="E728" t="str">
            <v>NRW</v>
          </cell>
          <cell r="F728" t="str">
            <v>NRW  10036204525</v>
          </cell>
          <cell r="G728" t="str">
            <v>RSV Münster I</v>
          </cell>
          <cell r="H728" t="str">
            <v>Perk</v>
          </cell>
          <cell r="I728" t="str">
            <v>Tom</v>
          </cell>
          <cell r="J728" t="str">
            <v>Perk   Tom</v>
          </cell>
          <cell r="K728">
            <v>37285</v>
          </cell>
        </row>
        <row r="729">
          <cell r="D729">
            <v>604687</v>
          </cell>
          <cell r="E729" t="str">
            <v>NRW</v>
          </cell>
          <cell r="F729" t="str">
            <v>NRW  604687</v>
          </cell>
          <cell r="G729" t="str">
            <v>RC Pfeil 07 Iserlohn</v>
          </cell>
          <cell r="H729" t="str">
            <v>Perla</v>
          </cell>
          <cell r="I729" t="str">
            <v>Cedrik</v>
          </cell>
          <cell r="J729" t="str">
            <v>Perla   Cedrik</v>
          </cell>
          <cell r="K729">
            <v>34875</v>
          </cell>
        </row>
        <row r="730">
          <cell r="D730">
            <v>214592</v>
          </cell>
          <cell r="E730" t="str">
            <v>RKB</v>
          </cell>
          <cell r="F730" t="str">
            <v>RKB  214592</v>
          </cell>
          <cell r="G730" t="str">
            <v>RSV Halle</v>
          </cell>
          <cell r="H730" t="str">
            <v>Peter</v>
          </cell>
          <cell r="I730" t="str">
            <v>Antonia</v>
          </cell>
          <cell r="J730" t="str">
            <v>Peter   Antonia</v>
          </cell>
          <cell r="K730">
            <v>35607</v>
          </cell>
        </row>
        <row r="731">
          <cell r="D731">
            <v>214336</v>
          </cell>
          <cell r="E731" t="str">
            <v>RKB</v>
          </cell>
          <cell r="F731" t="str">
            <v>RKB  214336</v>
          </cell>
          <cell r="G731" t="str">
            <v>SC Woltringhausen I</v>
          </cell>
          <cell r="H731" t="str">
            <v>Peter</v>
          </cell>
          <cell r="I731" t="str">
            <v>Isabell</v>
          </cell>
          <cell r="J731" t="str">
            <v>Peter   Isabell</v>
          </cell>
          <cell r="K731">
            <v>34993</v>
          </cell>
        </row>
        <row r="732">
          <cell r="D732">
            <v>10036548065</v>
          </cell>
          <cell r="E732" t="str">
            <v>HES</v>
          </cell>
          <cell r="F732" t="str">
            <v>HES  10036548065</v>
          </cell>
          <cell r="G732" t="str">
            <v>RVT Wölfersheim</v>
          </cell>
          <cell r="H732" t="str">
            <v>Peter</v>
          </cell>
          <cell r="I732" t="str">
            <v>Nils-Ole</v>
          </cell>
          <cell r="J732" t="str">
            <v>Peter   Nils-Ole</v>
          </cell>
          <cell r="K732">
            <v>38787</v>
          </cell>
        </row>
        <row r="733">
          <cell r="D733">
            <v>93340</v>
          </cell>
          <cell r="E733" t="str">
            <v>NDS</v>
          </cell>
          <cell r="F733" t="str">
            <v>NDS  93340</v>
          </cell>
          <cell r="G733" t="str">
            <v>Stahlrad Laatzen</v>
          </cell>
          <cell r="H733" t="str">
            <v>Peters</v>
          </cell>
          <cell r="I733" t="str">
            <v>Eric</v>
          </cell>
          <cell r="J733" t="str">
            <v>Peters   Eric</v>
          </cell>
          <cell r="K733">
            <v>32972</v>
          </cell>
        </row>
        <row r="734">
          <cell r="D734">
            <v>603096</v>
          </cell>
          <cell r="E734" t="str">
            <v>NRW</v>
          </cell>
          <cell r="F734" t="str">
            <v>NRW  603096</v>
          </cell>
          <cell r="G734" t="str">
            <v>RSC Schiefbahn</v>
          </cell>
          <cell r="H734" t="str">
            <v>Peters</v>
          </cell>
          <cell r="I734" t="str">
            <v>Lukas</v>
          </cell>
          <cell r="J734" t="str">
            <v>Peters   Lukas</v>
          </cell>
          <cell r="K734">
            <v>35259</v>
          </cell>
        </row>
        <row r="735">
          <cell r="D735">
            <v>10048531508</v>
          </cell>
          <cell r="E735" t="str">
            <v>NRW</v>
          </cell>
          <cell r="F735" t="str">
            <v>NRW  10048531508</v>
          </cell>
          <cell r="G735" t="str">
            <v>RC Pfeil 07 Iserlohn IV</v>
          </cell>
          <cell r="H735" t="str">
            <v>Petsching</v>
          </cell>
          <cell r="I735" t="str">
            <v>Max</v>
          </cell>
          <cell r="J735" t="str">
            <v>Petsching   Max</v>
          </cell>
          <cell r="K735">
            <v>34674</v>
          </cell>
        </row>
        <row r="736">
          <cell r="D736">
            <v>10043815688</v>
          </cell>
          <cell r="E736" t="str">
            <v>RKB</v>
          </cell>
          <cell r="F736" t="str">
            <v>RKB  10043815688</v>
          </cell>
          <cell r="G736" t="str">
            <v>RSV Bramsche II</v>
          </cell>
          <cell r="H736" t="str">
            <v>Pfeifer</v>
          </cell>
          <cell r="I736" t="str">
            <v>Mike</v>
          </cell>
          <cell r="J736" t="str">
            <v>Pfeifer   Mike</v>
          </cell>
          <cell r="K736">
            <v>25372</v>
          </cell>
        </row>
        <row r="737">
          <cell r="D737">
            <v>94097</v>
          </cell>
          <cell r="E737" t="str">
            <v>NDS</v>
          </cell>
          <cell r="F737" t="str">
            <v>NDS  94097</v>
          </cell>
          <cell r="G737" t="str">
            <v>RVT Aschendorf</v>
          </cell>
          <cell r="H737" t="str">
            <v>Pie</v>
          </cell>
          <cell r="I737" t="str">
            <v>Sören</v>
          </cell>
          <cell r="J737" t="str">
            <v>Pie   Sören</v>
          </cell>
          <cell r="K737">
            <v>35312</v>
          </cell>
        </row>
        <row r="738">
          <cell r="D738">
            <v>10043834078</v>
          </cell>
          <cell r="E738" t="str">
            <v>RKB</v>
          </cell>
          <cell r="F738" t="str">
            <v>RKB  10043834078</v>
          </cell>
          <cell r="G738" t="str">
            <v>RSV Frellstedt II</v>
          </cell>
          <cell r="H738" t="str">
            <v>Piecha</v>
          </cell>
          <cell r="I738" t="str">
            <v>Petra</v>
          </cell>
          <cell r="J738" t="str">
            <v>Piecha   Petra</v>
          </cell>
          <cell r="K738">
            <v>24484</v>
          </cell>
        </row>
        <row r="739">
          <cell r="D739">
            <v>213921</v>
          </cell>
          <cell r="E739" t="str">
            <v>RKB</v>
          </cell>
          <cell r="F739" t="str">
            <v>RKB  213921</v>
          </cell>
          <cell r="G739" t="str">
            <v>RSV Frellstedt</v>
          </cell>
          <cell r="H739" t="str">
            <v>Piecha</v>
          </cell>
          <cell r="I739" t="str">
            <v>Sascha</v>
          </cell>
          <cell r="J739" t="str">
            <v>Piecha   Sascha</v>
          </cell>
          <cell r="K739">
            <v>35528</v>
          </cell>
        </row>
        <row r="740">
          <cell r="D740">
            <v>214305</v>
          </cell>
          <cell r="E740" t="str">
            <v>RKB</v>
          </cell>
          <cell r="F740" t="str">
            <v>RKB  214305</v>
          </cell>
          <cell r="G740" t="str">
            <v>RSV Frellstedt U19</v>
          </cell>
          <cell r="H740" t="str">
            <v>Piesch</v>
          </cell>
          <cell r="I740" t="str">
            <v>Stina</v>
          </cell>
          <cell r="J740" t="str">
            <v>Piesch   Stina</v>
          </cell>
          <cell r="K740">
            <v>35838</v>
          </cell>
        </row>
        <row r="741">
          <cell r="D741">
            <v>214304</v>
          </cell>
          <cell r="E741" t="str">
            <v>RKB</v>
          </cell>
          <cell r="F741" t="str">
            <v>RKB  214304</v>
          </cell>
          <cell r="G741" t="str">
            <v>RSV Frellstedt U19</v>
          </cell>
          <cell r="H741" t="str">
            <v>Piesch</v>
          </cell>
          <cell r="I741" t="str">
            <v>Swena</v>
          </cell>
          <cell r="J741" t="str">
            <v>Piesch   Swena</v>
          </cell>
          <cell r="K741">
            <v>35838</v>
          </cell>
        </row>
        <row r="742">
          <cell r="D742">
            <v>95008</v>
          </cell>
          <cell r="E742" t="str">
            <v>NDS</v>
          </cell>
          <cell r="F742" t="str">
            <v>NDS  95008</v>
          </cell>
          <cell r="G742" t="str">
            <v>RSVL Gifhorn</v>
          </cell>
          <cell r="H742" t="str">
            <v>Pioch</v>
          </cell>
          <cell r="I742" t="str">
            <v>Michael</v>
          </cell>
          <cell r="J742" t="str">
            <v>Pioch   Michael</v>
          </cell>
          <cell r="K742">
            <v>33300</v>
          </cell>
        </row>
        <row r="743">
          <cell r="D743">
            <v>10086992513</v>
          </cell>
          <cell r="E743" t="str">
            <v>RKB</v>
          </cell>
          <cell r="F743" t="str">
            <v>RKB  10086992513</v>
          </cell>
          <cell r="G743" t="str">
            <v>RSV Frellstedt I</v>
          </cell>
          <cell r="H743" t="str">
            <v>Pissarczyk</v>
          </cell>
          <cell r="I743" t="str">
            <v>Lene</v>
          </cell>
          <cell r="J743" t="str">
            <v>Pissarczyk   Lene</v>
          </cell>
          <cell r="K743">
            <v>40232</v>
          </cell>
        </row>
        <row r="744">
          <cell r="D744">
            <v>10090010033</v>
          </cell>
          <cell r="E744" t="str">
            <v>NDS</v>
          </cell>
          <cell r="F744" t="str">
            <v>NDS  10090010033</v>
          </cell>
          <cell r="G744" t="str">
            <v>RV Etelsen II</v>
          </cell>
          <cell r="H744" t="str">
            <v>Pleus</v>
          </cell>
          <cell r="I744" t="str">
            <v>Joshua</v>
          </cell>
          <cell r="J744" t="str">
            <v>Pleus   Joshua</v>
          </cell>
          <cell r="K744">
            <v>40298</v>
          </cell>
        </row>
        <row r="745">
          <cell r="D745">
            <v>93161</v>
          </cell>
          <cell r="E745" t="str">
            <v>NDS</v>
          </cell>
          <cell r="F745" t="str">
            <v>NDS  93161</v>
          </cell>
          <cell r="G745" t="str">
            <v>RCG Hahndorf II</v>
          </cell>
          <cell r="H745" t="str">
            <v>Plümer</v>
          </cell>
          <cell r="I745" t="str">
            <v>Christian</v>
          </cell>
          <cell r="J745" t="str">
            <v>Plümer   Christian</v>
          </cell>
          <cell r="K745">
            <v>33349</v>
          </cell>
        </row>
        <row r="746">
          <cell r="D746">
            <v>10069103184</v>
          </cell>
          <cell r="E746" t="str">
            <v>NRW</v>
          </cell>
          <cell r="F746" t="str">
            <v>NRW  10069103184</v>
          </cell>
          <cell r="G746" t="str">
            <v>RVW Methler</v>
          </cell>
          <cell r="H746" t="str">
            <v>Podmoranski</v>
          </cell>
          <cell r="I746" t="str">
            <v>Valentino</v>
          </cell>
          <cell r="J746" t="str">
            <v>Podmoranski   Valentino</v>
          </cell>
          <cell r="K746">
            <v>38888</v>
          </cell>
        </row>
        <row r="747">
          <cell r="D747">
            <v>10043830543</v>
          </cell>
          <cell r="E747" t="str">
            <v>RKB</v>
          </cell>
          <cell r="F747" t="str">
            <v>RKB  10043830543</v>
          </cell>
          <cell r="G747" t="str">
            <v>RSV Frellstedt II</v>
          </cell>
          <cell r="H747" t="str">
            <v>Pohlai</v>
          </cell>
          <cell r="I747" t="str">
            <v>Aurora</v>
          </cell>
          <cell r="J747" t="str">
            <v>Pohlai   Aurora</v>
          </cell>
          <cell r="K747">
            <v>36640</v>
          </cell>
        </row>
        <row r="748">
          <cell r="D748">
            <v>10043804069</v>
          </cell>
          <cell r="E748" t="str">
            <v>RKB</v>
          </cell>
          <cell r="F748" t="str">
            <v>RKB  10043804069</v>
          </cell>
          <cell r="G748" t="str">
            <v>RSV Frellstedt I</v>
          </cell>
          <cell r="H748" t="str">
            <v>Pohlai</v>
          </cell>
          <cell r="I748" t="str">
            <v>Minou</v>
          </cell>
          <cell r="J748" t="str">
            <v>Pohlai   Minou</v>
          </cell>
          <cell r="K748">
            <v>39345</v>
          </cell>
        </row>
        <row r="749">
          <cell r="D749">
            <v>10090010036</v>
          </cell>
          <cell r="E749" t="str">
            <v>NDS</v>
          </cell>
          <cell r="F749" t="str">
            <v>NDS  10090010036</v>
          </cell>
          <cell r="G749" t="str">
            <v>RV Etelsen II</v>
          </cell>
          <cell r="H749" t="str">
            <v>Polack</v>
          </cell>
          <cell r="I749" t="str">
            <v>Julian</v>
          </cell>
          <cell r="J749" t="str">
            <v>Polack   Julian</v>
          </cell>
          <cell r="K749">
            <v>40879</v>
          </cell>
        </row>
        <row r="750">
          <cell r="D750">
            <v>10049976707</v>
          </cell>
          <cell r="E750" t="str">
            <v>BRA</v>
          </cell>
          <cell r="F750" t="str">
            <v>BRA  10049976707</v>
          </cell>
          <cell r="G750" t="str">
            <v>RSV Großkoschen II </v>
          </cell>
          <cell r="H750" t="str">
            <v>Polat</v>
          </cell>
          <cell r="I750" t="str">
            <v>Rojan</v>
          </cell>
          <cell r="J750" t="str">
            <v>Polat   Rojan</v>
          </cell>
          <cell r="K750">
            <v>38269</v>
          </cell>
        </row>
        <row r="751">
          <cell r="D751">
            <v>214427</v>
          </cell>
          <cell r="E751" t="str">
            <v>RKB</v>
          </cell>
          <cell r="F751" t="str">
            <v>RKB  214427</v>
          </cell>
          <cell r="G751" t="str">
            <v>RKB Wetzlar I</v>
          </cell>
          <cell r="H751" t="str">
            <v>Polsoni</v>
          </cell>
          <cell r="I751" t="str">
            <v>Isabella</v>
          </cell>
          <cell r="J751" t="str">
            <v>Polsoni   Isabella</v>
          </cell>
          <cell r="K751">
            <v>34748</v>
          </cell>
        </row>
        <row r="752">
          <cell r="D752">
            <v>92666</v>
          </cell>
          <cell r="E752" t="str">
            <v>NDS</v>
          </cell>
          <cell r="F752" t="str">
            <v>NDS  92666</v>
          </cell>
          <cell r="G752" t="str">
            <v>RV Etelsen</v>
          </cell>
          <cell r="H752" t="str">
            <v>Prahl</v>
          </cell>
          <cell r="I752" t="str">
            <v>René</v>
          </cell>
          <cell r="J752" t="str">
            <v>Prahl   René</v>
          </cell>
          <cell r="K752">
            <v>32916</v>
          </cell>
        </row>
        <row r="753">
          <cell r="D753">
            <v>210890</v>
          </cell>
          <cell r="E753" t="str">
            <v>RKB</v>
          </cell>
          <cell r="F753" t="str">
            <v>RKB  210890</v>
          </cell>
          <cell r="G753" t="str">
            <v>RSV Halle III</v>
          </cell>
          <cell r="H753" t="str">
            <v>Pralle</v>
          </cell>
          <cell r="I753" t="str">
            <v>Hartmut</v>
          </cell>
          <cell r="J753" t="str">
            <v>Pralle   Hartmut</v>
          </cell>
          <cell r="K753">
            <v>19663</v>
          </cell>
        </row>
        <row r="754">
          <cell r="D754">
            <v>99008</v>
          </cell>
          <cell r="E754" t="str">
            <v>NDS</v>
          </cell>
          <cell r="F754" t="str">
            <v>NDS  99008</v>
          </cell>
          <cell r="G754" t="str">
            <v>RVW Gieboldehausen I</v>
          </cell>
          <cell r="H754" t="str">
            <v>Preis</v>
          </cell>
          <cell r="I754" t="str">
            <v>Joey</v>
          </cell>
          <cell r="J754" t="str">
            <v>Preis   Joey</v>
          </cell>
          <cell r="K754">
            <v>33931</v>
          </cell>
        </row>
        <row r="755">
          <cell r="D755">
            <v>90378</v>
          </cell>
          <cell r="E755" t="str">
            <v>NDS</v>
          </cell>
          <cell r="F755" t="str">
            <v>NDS  90378</v>
          </cell>
          <cell r="G755" t="str">
            <v>RTC Hildesheim IV</v>
          </cell>
          <cell r="H755" t="str">
            <v>Prenzler</v>
          </cell>
          <cell r="I755" t="str">
            <v>Amelie</v>
          </cell>
          <cell r="J755" t="str">
            <v>Prenzler   Amelie</v>
          </cell>
          <cell r="K755">
            <v>32307</v>
          </cell>
        </row>
        <row r="756">
          <cell r="D756">
            <v>213200</v>
          </cell>
          <cell r="E756" t="str">
            <v>RKB</v>
          </cell>
          <cell r="F756" t="str">
            <v>RKB  213200</v>
          </cell>
          <cell r="G756" t="str">
            <v>RSV Frellstedt IV</v>
          </cell>
          <cell r="H756" t="str">
            <v>Priess</v>
          </cell>
          <cell r="I756" t="str">
            <v>André</v>
          </cell>
          <cell r="J756" t="str">
            <v>Priess   André</v>
          </cell>
          <cell r="K756">
            <v>32110</v>
          </cell>
        </row>
        <row r="757">
          <cell r="D757">
            <v>141825</v>
          </cell>
          <cell r="E757" t="str">
            <v>SAH</v>
          </cell>
          <cell r="F757" t="str">
            <v>SAH  141825</v>
          </cell>
          <cell r="G757" t="str">
            <v>Reideburger SV</v>
          </cell>
          <cell r="H757" t="str">
            <v>Proske</v>
          </cell>
          <cell r="I757" t="str">
            <v>Florian</v>
          </cell>
          <cell r="J757" t="str">
            <v>Proske   Florian</v>
          </cell>
          <cell r="K757">
            <v>35458</v>
          </cell>
        </row>
        <row r="758">
          <cell r="D758">
            <v>213923</v>
          </cell>
          <cell r="E758" t="str">
            <v>RKB</v>
          </cell>
          <cell r="F758" t="str">
            <v>RKB  213923</v>
          </cell>
          <cell r="G758" t="str">
            <v>RSV Frellstedt II</v>
          </cell>
          <cell r="H758" t="str">
            <v>Pubanz</v>
          </cell>
          <cell r="I758" t="str">
            <v>Mariell</v>
          </cell>
          <cell r="J758" t="str">
            <v>Pubanz   Mariell</v>
          </cell>
          <cell r="K758">
            <v>34693</v>
          </cell>
        </row>
        <row r="759">
          <cell r="D759">
            <v>95304</v>
          </cell>
          <cell r="E759" t="str">
            <v>NDS</v>
          </cell>
          <cell r="F759" t="str">
            <v>NDS  95304</v>
          </cell>
          <cell r="G759" t="str">
            <v>RVM Bilshausen II</v>
          </cell>
          <cell r="H759" t="str">
            <v>Pusecker</v>
          </cell>
          <cell r="I759" t="str">
            <v>Maik</v>
          </cell>
          <cell r="J759" t="str">
            <v>Pusecker   Maik</v>
          </cell>
          <cell r="K759">
            <v>30011</v>
          </cell>
        </row>
        <row r="760">
          <cell r="D760">
            <v>90362</v>
          </cell>
          <cell r="E760" t="str">
            <v>NDS</v>
          </cell>
          <cell r="F760" t="str">
            <v>NDS  90362</v>
          </cell>
          <cell r="G760" t="str">
            <v>RTC Hildesheim IV</v>
          </cell>
          <cell r="H760" t="str">
            <v>Quint</v>
          </cell>
          <cell r="I760" t="str">
            <v>Ines</v>
          </cell>
          <cell r="J760" t="str">
            <v>Quint   Ines</v>
          </cell>
          <cell r="K760">
            <v>32156</v>
          </cell>
        </row>
        <row r="761">
          <cell r="D761">
            <v>211865</v>
          </cell>
          <cell r="E761" t="str">
            <v>RKB</v>
          </cell>
          <cell r="F761" t="str">
            <v>RKB  211865</v>
          </cell>
          <cell r="G761" t="str">
            <v>RSV Frellstedt III</v>
          </cell>
          <cell r="H761" t="str">
            <v>Rademacher</v>
          </cell>
          <cell r="I761" t="str">
            <v>Christina</v>
          </cell>
          <cell r="J761" t="str">
            <v>Rademacher   Christina</v>
          </cell>
          <cell r="K761">
            <v>32350</v>
          </cell>
        </row>
        <row r="762">
          <cell r="D762">
            <v>10036200178</v>
          </cell>
          <cell r="E762" t="str">
            <v>NRW</v>
          </cell>
          <cell r="F762" t="str">
            <v>NRW  10036200178</v>
          </cell>
          <cell r="G762" t="str">
            <v>RC Pfeil 07 Iserlohn IV</v>
          </cell>
          <cell r="H762" t="str">
            <v>Radtke</v>
          </cell>
          <cell r="I762" t="str">
            <v>Felix</v>
          </cell>
          <cell r="J762" t="str">
            <v>Radtke   Felix</v>
          </cell>
          <cell r="K762">
            <v>37076</v>
          </cell>
        </row>
        <row r="763">
          <cell r="D763">
            <v>10043831856</v>
          </cell>
          <cell r="E763" t="str">
            <v>RKB</v>
          </cell>
          <cell r="F763" t="str">
            <v>RKB  10043831856</v>
          </cell>
          <cell r="G763" t="str">
            <v>RSV Frellstedt I</v>
          </cell>
          <cell r="H763" t="str">
            <v>Radtke</v>
          </cell>
          <cell r="I763" t="str">
            <v>Sarah</v>
          </cell>
          <cell r="J763" t="str">
            <v>Radtke   Sarah</v>
          </cell>
          <cell r="K763">
            <v>33447</v>
          </cell>
        </row>
        <row r="764">
          <cell r="D764">
            <v>10102538680</v>
          </cell>
          <cell r="E764" t="str">
            <v>NDS</v>
          </cell>
          <cell r="F764" t="str">
            <v>NDS  10102538680</v>
          </cell>
          <cell r="G764" t="str">
            <v>RVS Obernfeld III</v>
          </cell>
          <cell r="H764" t="str">
            <v>Rakebrand</v>
          </cell>
          <cell r="I764" t="str">
            <v>Anna</v>
          </cell>
          <cell r="J764" t="str">
            <v>Rakebrand   Anna</v>
          </cell>
          <cell r="K764">
            <v>40058</v>
          </cell>
        </row>
        <row r="765">
          <cell r="D765">
            <v>10043821651</v>
          </cell>
          <cell r="E765" t="str">
            <v>NDS</v>
          </cell>
          <cell r="F765" t="str">
            <v>NDS  10043821651</v>
          </cell>
          <cell r="G765" t="str">
            <v>RVS Obernfeld I</v>
          </cell>
          <cell r="H765" t="str">
            <v>Rakebrand</v>
          </cell>
          <cell r="I765" t="str">
            <v>Sandra</v>
          </cell>
          <cell r="J765" t="str">
            <v>Rakebrand   Sandra</v>
          </cell>
          <cell r="K765">
            <v>28416</v>
          </cell>
        </row>
        <row r="766">
          <cell r="D766">
            <v>95096</v>
          </cell>
          <cell r="E766" t="str">
            <v>NDS</v>
          </cell>
          <cell r="F766" t="str">
            <v>NDS  95096</v>
          </cell>
          <cell r="G766" t="str">
            <v>RSVL Gifhorn III</v>
          </cell>
          <cell r="H766" t="str">
            <v>Rampf</v>
          </cell>
          <cell r="I766" t="str">
            <v>Lukas</v>
          </cell>
          <cell r="J766" t="str">
            <v>Rampf   Lukas</v>
          </cell>
          <cell r="K766">
            <v>36301</v>
          </cell>
        </row>
        <row r="767">
          <cell r="D767">
            <v>95005</v>
          </cell>
          <cell r="E767" t="str">
            <v>NDS</v>
          </cell>
          <cell r="F767" t="str">
            <v>NDS  95005</v>
          </cell>
          <cell r="G767" t="str">
            <v>RVW Gieboldehausen</v>
          </cell>
          <cell r="H767" t="str">
            <v>Rassfeld</v>
          </cell>
          <cell r="I767" t="str">
            <v>Kevin</v>
          </cell>
          <cell r="J767" t="str">
            <v>Rassfeld   Kevin</v>
          </cell>
          <cell r="K767">
            <v>33604</v>
          </cell>
        </row>
        <row r="768">
          <cell r="D768">
            <v>10036250803</v>
          </cell>
          <cell r="E768" t="str">
            <v>HES</v>
          </cell>
          <cell r="F768" t="str">
            <v>HES  10036250803</v>
          </cell>
          <cell r="G768" t="str">
            <v>RSG Ginsheim II</v>
          </cell>
          <cell r="H768" t="str">
            <v>Rauch</v>
          </cell>
          <cell r="I768" t="str">
            <v>Moritz</v>
          </cell>
          <cell r="J768" t="str">
            <v>Rauch   Moritz</v>
          </cell>
          <cell r="K768">
            <v>38785</v>
          </cell>
        </row>
        <row r="769">
          <cell r="D769">
            <v>142175</v>
          </cell>
          <cell r="E769" t="str">
            <v>SAH</v>
          </cell>
          <cell r="F769" t="str">
            <v>SAH  142175</v>
          </cell>
          <cell r="G769" t="str">
            <v>Reideburger SV III</v>
          </cell>
          <cell r="H769" t="str">
            <v>Rausch</v>
          </cell>
          <cell r="I769" t="str">
            <v>Nico</v>
          </cell>
          <cell r="J769" t="str">
            <v>Rausch   Nico</v>
          </cell>
          <cell r="K769">
            <v>37526</v>
          </cell>
        </row>
        <row r="770">
          <cell r="D770">
            <v>141823</v>
          </cell>
          <cell r="E770" t="str">
            <v>SAH</v>
          </cell>
          <cell r="F770" t="str">
            <v>SAH  141823</v>
          </cell>
          <cell r="G770" t="str">
            <v>Reideburger SV </v>
          </cell>
          <cell r="H770" t="str">
            <v>Rausch</v>
          </cell>
          <cell r="I770" t="str">
            <v>Steven</v>
          </cell>
          <cell r="J770" t="str">
            <v>Rausch   Steven</v>
          </cell>
          <cell r="K770">
            <v>35258</v>
          </cell>
        </row>
        <row r="771">
          <cell r="D771">
            <v>93025</v>
          </cell>
          <cell r="E771" t="str">
            <v>NDS</v>
          </cell>
          <cell r="F771" t="str">
            <v>NDS  93025</v>
          </cell>
          <cell r="G771" t="str">
            <v>RVW Salzgitter-Beddingen</v>
          </cell>
          <cell r="H771" t="str">
            <v>Redmann</v>
          </cell>
          <cell r="I771" t="str">
            <v>Björn</v>
          </cell>
          <cell r="J771" t="str">
            <v>Redmann   Björn</v>
          </cell>
          <cell r="K771">
            <v>33193</v>
          </cell>
        </row>
        <row r="772">
          <cell r="D772">
            <v>93026</v>
          </cell>
          <cell r="E772" t="str">
            <v>NDS</v>
          </cell>
          <cell r="F772" t="str">
            <v>NDS  93026</v>
          </cell>
          <cell r="G772" t="str">
            <v>RVW Salzgitter-Beddingen</v>
          </cell>
          <cell r="H772" t="str">
            <v>Redmann</v>
          </cell>
          <cell r="I772" t="str">
            <v>Steffen</v>
          </cell>
          <cell r="J772" t="str">
            <v>Redmann   Steffen</v>
          </cell>
          <cell r="K772">
            <v>33193</v>
          </cell>
        </row>
        <row r="773">
          <cell r="D773">
            <v>10075500538</v>
          </cell>
          <cell r="E773" t="str">
            <v>BRA</v>
          </cell>
          <cell r="F773" t="str">
            <v>BRA  10075500538</v>
          </cell>
          <cell r="G773" t="str">
            <v>SGS Luckenwalde</v>
          </cell>
          <cell r="H773" t="str">
            <v>Reh</v>
          </cell>
          <cell r="I773" t="str">
            <v>Justus</v>
          </cell>
          <cell r="J773" t="str">
            <v>Reh   Justus</v>
          </cell>
          <cell r="K773">
            <v>37489</v>
          </cell>
        </row>
        <row r="774">
          <cell r="D774">
            <v>10090010010</v>
          </cell>
          <cell r="E774" t="str">
            <v>NDS</v>
          </cell>
          <cell r="F774" t="str">
            <v>NDS  10090010010</v>
          </cell>
          <cell r="G774" t="str">
            <v>RCT Hannover II a.K.</v>
          </cell>
          <cell r="H774" t="str">
            <v>Reimer</v>
          </cell>
          <cell r="I774" t="str">
            <v>Philipp</v>
          </cell>
          <cell r="J774" t="str">
            <v>Reimer   Philipp</v>
          </cell>
          <cell r="K774">
            <v>38242</v>
          </cell>
        </row>
        <row r="775">
          <cell r="D775">
            <v>45039</v>
          </cell>
          <cell r="E775" t="str">
            <v>BRA</v>
          </cell>
          <cell r="F775" t="str">
            <v>BRA  45039</v>
          </cell>
          <cell r="G775" t="str">
            <v>Ludwigsfelder RC</v>
          </cell>
          <cell r="H775" t="str">
            <v>Reimers</v>
          </cell>
          <cell r="I775" t="str">
            <v>Mattes</v>
          </cell>
          <cell r="J775" t="str">
            <v>Reimers   Mattes</v>
          </cell>
          <cell r="K775">
            <v>38337</v>
          </cell>
        </row>
        <row r="776">
          <cell r="D776">
            <v>10048570409</v>
          </cell>
          <cell r="E776" t="str">
            <v>NDS</v>
          </cell>
          <cell r="F776" t="str">
            <v>NDS  10048570409</v>
          </cell>
          <cell r="G776" t="str">
            <v>RVGR Oker I</v>
          </cell>
          <cell r="H776" t="str">
            <v>Reinecke</v>
          </cell>
          <cell r="I776" t="str">
            <v>Michael</v>
          </cell>
          <cell r="J776" t="str">
            <v>Reinecke   Michael</v>
          </cell>
          <cell r="K776">
            <v>30417</v>
          </cell>
        </row>
        <row r="777">
          <cell r="D777">
            <v>216285</v>
          </cell>
          <cell r="E777" t="str">
            <v>RKB</v>
          </cell>
          <cell r="F777" t="str">
            <v>RKB  216285</v>
          </cell>
          <cell r="G777" t="str">
            <v>RSV Halle II</v>
          </cell>
          <cell r="H777" t="str">
            <v>Reinert</v>
          </cell>
          <cell r="I777" t="str">
            <v>Marlin</v>
          </cell>
          <cell r="J777" t="str">
            <v>Reinert   Marlin</v>
          </cell>
          <cell r="K777">
            <v>36292</v>
          </cell>
        </row>
        <row r="778">
          <cell r="D778">
            <v>215043</v>
          </cell>
          <cell r="E778" t="str">
            <v>RKB</v>
          </cell>
          <cell r="F778" t="str">
            <v>RKB  215043</v>
          </cell>
          <cell r="G778" t="str">
            <v>RSV Bramsche</v>
          </cell>
          <cell r="H778" t="str">
            <v>Reinhold</v>
          </cell>
          <cell r="I778" t="str">
            <v>Tom</v>
          </cell>
          <cell r="J778" t="str">
            <v>Reinhold   Tom</v>
          </cell>
          <cell r="K778">
            <v>36228</v>
          </cell>
        </row>
        <row r="779">
          <cell r="D779">
            <v>10136669546</v>
          </cell>
          <cell r="E779" t="str">
            <v>BRE</v>
          </cell>
          <cell r="F779" t="str">
            <v>BRE  10136669546</v>
          </cell>
          <cell r="G779" t="str">
            <v>Oberneuland I</v>
          </cell>
          <cell r="H779" t="str">
            <v>Reinhold</v>
          </cell>
          <cell r="I779" t="str">
            <v>Valeria</v>
          </cell>
          <cell r="J779" t="str">
            <v>Reinhold   Valeria</v>
          </cell>
          <cell r="K779">
            <v>39121</v>
          </cell>
        </row>
        <row r="780">
          <cell r="D780">
            <v>214338</v>
          </cell>
          <cell r="E780" t="str">
            <v>RKB</v>
          </cell>
          <cell r="F780" t="str">
            <v>RKB  214338</v>
          </cell>
          <cell r="G780" t="str">
            <v>SC Woltringhausen I</v>
          </cell>
          <cell r="H780" t="str">
            <v>Reiß</v>
          </cell>
          <cell r="I780" t="str">
            <v>Lisa</v>
          </cell>
          <cell r="J780" t="str">
            <v>Reiß   Lisa</v>
          </cell>
          <cell r="K780">
            <v>35007</v>
          </cell>
        </row>
        <row r="781">
          <cell r="D781">
            <v>10090010025</v>
          </cell>
          <cell r="E781" t="str">
            <v>NDS</v>
          </cell>
          <cell r="F781" t="str">
            <v>NDS  10090010025</v>
          </cell>
          <cell r="G781" t="str">
            <v>TSV Barrien U19</v>
          </cell>
          <cell r="H781" t="str">
            <v>Remmel</v>
          </cell>
          <cell r="I781" t="str">
            <v>Dorothea Merle</v>
          </cell>
          <cell r="J781" t="str">
            <v>Remmel   Dorothea Merle</v>
          </cell>
          <cell r="K781">
            <v>38147</v>
          </cell>
        </row>
        <row r="782">
          <cell r="D782">
            <v>90335</v>
          </cell>
          <cell r="E782" t="str">
            <v>NDS</v>
          </cell>
          <cell r="F782" t="str">
            <v>NDS  90335</v>
          </cell>
          <cell r="G782" t="str">
            <v>RTC Hildesheim II</v>
          </cell>
          <cell r="H782" t="str">
            <v>Remmer</v>
          </cell>
          <cell r="I782" t="str">
            <v>Hilke</v>
          </cell>
          <cell r="J782" t="str">
            <v>Remmer   Hilke</v>
          </cell>
          <cell r="K782">
            <v>32031</v>
          </cell>
        </row>
        <row r="783">
          <cell r="D783">
            <v>81998</v>
          </cell>
          <cell r="E783" t="str">
            <v>MEV</v>
          </cell>
          <cell r="F783" t="str">
            <v>MEV  81998</v>
          </cell>
          <cell r="G783" t="str">
            <v>SV Lüblow a.K.</v>
          </cell>
          <cell r="H783" t="str">
            <v>Richter</v>
          </cell>
          <cell r="I783" t="str">
            <v>Lars Eric</v>
          </cell>
          <cell r="J783" t="str">
            <v>Richter   Lars Eric</v>
          </cell>
          <cell r="K783">
            <v>37466</v>
          </cell>
        </row>
        <row r="784">
          <cell r="D784">
            <v>44305</v>
          </cell>
          <cell r="E784" t="str">
            <v>BRA</v>
          </cell>
          <cell r="F784" t="str">
            <v>BRA  44305</v>
          </cell>
          <cell r="G784" t="str">
            <v>RSV Großkoschen</v>
          </cell>
          <cell r="H784" t="str">
            <v>Richter</v>
          </cell>
          <cell r="I784" t="str">
            <v>Patrick</v>
          </cell>
          <cell r="J784" t="str">
            <v>Richter   Patrick</v>
          </cell>
          <cell r="K784">
            <v>36446</v>
          </cell>
        </row>
        <row r="785">
          <cell r="D785">
            <v>10036273738</v>
          </cell>
          <cell r="E785" t="str">
            <v>HES</v>
          </cell>
          <cell r="F785" t="str">
            <v>HES  10036273738</v>
          </cell>
          <cell r="G785" t="str">
            <v>RSV Hähnlein</v>
          </cell>
          <cell r="H785" t="str">
            <v>Ries</v>
          </cell>
          <cell r="I785" t="str">
            <v>Bastian</v>
          </cell>
          <cell r="J785" t="str">
            <v>Ries   Bastian</v>
          </cell>
          <cell r="K785">
            <v>38097</v>
          </cell>
        </row>
        <row r="786">
          <cell r="D786">
            <v>90371</v>
          </cell>
          <cell r="E786" t="str">
            <v>NDS</v>
          </cell>
          <cell r="F786" t="str">
            <v>NDS  90371</v>
          </cell>
          <cell r="G786" t="str">
            <v>RTC Hildesheim II</v>
          </cell>
          <cell r="H786" t="str">
            <v>Rietzel</v>
          </cell>
          <cell r="I786" t="str">
            <v>Carmen</v>
          </cell>
          <cell r="J786" t="str">
            <v>Rietzel   Carmen</v>
          </cell>
          <cell r="K786">
            <v>32071</v>
          </cell>
        </row>
        <row r="787">
          <cell r="D787">
            <v>93426</v>
          </cell>
          <cell r="E787" t="str">
            <v>NDS</v>
          </cell>
          <cell r="F787" t="str">
            <v>NDS  93426</v>
          </cell>
          <cell r="G787" t="str">
            <v>RVM Bilshausen III</v>
          </cell>
          <cell r="H787" t="str">
            <v>Rinkleff</v>
          </cell>
          <cell r="I787" t="str">
            <v>Pascal</v>
          </cell>
          <cell r="J787" t="str">
            <v>Rinkleff   Pascal</v>
          </cell>
          <cell r="K787">
            <v>33887</v>
          </cell>
        </row>
        <row r="788">
          <cell r="D788">
            <v>10113448958</v>
          </cell>
          <cell r="E788" t="str">
            <v>NDS</v>
          </cell>
          <cell r="F788" t="str">
            <v>NDS  10113448958</v>
          </cell>
          <cell r="G788" t="str">
            <v>RVM Göttingen I</v>
          </cell>
          <cell r="H788" t="str">
            <v>Ripping</v>
          </cell>
          <cell r="I788" t="str">
            <v>Josef</v>
          </cell>
          <cell r="J788" t="str">
            <v>Ripping   Josef</v>
          </cell>
          <cell r="K788">
            <v>27888</v>
          </cell>
        </row>
        <row r="789">
          <cell r="D789">
            <v>10043804170</v>
          </cell>
          <cell r="E789" t="str">
            <v>RKB</v>
          </cell>
          <cell r="F789" t="str">
            <v>RKB  10043804170</v>
          </cell>
          <cell r="G789" t="str">
            <v>RSV Bramsche IV</v>
          </cell>
          <cell r="H789" t="str">
            <v>Rodefeld</v>
          </cell>
          <cell r="I789" t="str">
            <v>Mark</v>
          </cell>
          <cell r="J789" t="str">
            <v>Rodefeld   Mark</v>
          </cell>
          <cell r="K789">
            <v>32507</v>
          </cell>
        </row>
        <row r="790">
          <cell r="D790">
            <v>10036184418</v>
          </cell>
          <cell r="E790" t="str">
            <v>NRW</v>
          </cell>
          <cell r="F790" t="str">
            <v>NRW  10036184418</v>
          </cell>
          <cell r="G790" t="str">
            <v>RSV Münster I</v>
          </cell>
          <cell r="H790" t="str">
            <v>Roerkohl</v>
          </cell>
          <cell r="I790" t="str">
            <v>David</v>
          </cell>
          <cell r="J790" t="str">
            <v>Roerkohl   David</v>
          </cell>
          <cell r="K790">
            <v>37586</v>
          </cell>
        </row>
        <row r="791">
          <cell r="D791">
            <v>10046148439</v>
          </cell>
          <cell r="E791" t="str">
            <v>SAH</v>
          </cell>
          <cell r="F791" t="str">
            <v>SAH  10046148439</v>
          </cell>
          <cell r="G791" t="str">
            <v>RC Lostau I</v>
          </cell>
          <cell r="H791" t="str">
            <v>Rogge</v>
          </cell>
          <cell r="I791" t="str">
            <v>Paula</v>
          </cell>
          <cell r="J791" t="str">
            <v>Rogge   Paula</v>
          </cell>
          <cell r="K791">
            <v>38912</v>
          </cell>
        </row>
        <row r="792">
          <cell r="D792">
            <v>92838</v>
          </cell>
          <cell r="E792" t="str">
            <v>NDS</v>
          </cell>
          <cell r="F792" t="str">
            <v>NDS  92838</v>
          </cell>
          <cell r="G792" t="str">
            <v>RTC Hildesheim II</v>
          </cell>
          <cell r="H792" t="str">
            <v>Rohde</v>
          </cell>
          <cell r="I792" t="str">
            <v>Thomas</v>
          </cell>
          <cell r="J792" t="str">
            <v>Rohde   Thomas</v>
          </cell>
          <cell r="K792">
            <v>23909</v>
          </cell>
        </row>
        <row r="793">
          <cell r="D793">
            <v>10050467363</v>
          </cell>
          <cell r="E793" t="str">
            <v>RKB</v>
          </cell>
          <cell r="F793" t="str">
            <v>RKB  10050467363</v>
          </cell>
          <cell r="G793" t="str">
            <v>RSV Halle I </v>
          </cell>
          <cell r="H793" t="str">
            <v>Rohlfing</v>
          </cell>
          <cell r="I793" t="str">
            <v>Stina</v>
          </cell>
          <cell r="J793" t="str">
            <v>Rohlfing   Stina</v>
          </cell>
          <cell r="K793">
            <v>37913</v>
          </cell>
        </row>
        <row r="794">
          <cell r="D794">
            <v>10090010057</v>
          </cell>
          <cell r="E794" t="str">
            <v>NDS</v>
          </cell>
          <cell r="F794" t="str">
            <v>NDS  10090010057</v>
          </cell>
          <cell r="G794" t="str">
            <v>SG Gifhorn / Hannover</v>
          </cell>
          <cell r="H794" t="str">
            <v>Rohwold</v>
          </cell>
          <cell r="I794" t="str">
            <v>Tobias</v>
          </cell>
          <cell r="J794" t="str">
            <v>Rohwold   Tobias</v>
          </cell>
          <cell r="K794">
            <v>39978</v>
          </cell>
        </row>
        <row r="795">
          <cell r="D795">
            <v>91463</v>
          </cell>
          <cell r="E795" t="str">
            <v>NDS</v>
          </cell>
          <cell r="F795" t="str">
            <v>NDS  91463</v>
          </cell>
          <cell r="G795" t="str">
            <v>RVAH Werxhausen</v>
          </cell>
          <cell r="H795" t="str">
            <v>Römer</v>
          </cell>
          <cell r="I795" t="str">
            <v>Holger</v>
          </cell>
          <cell r="J795" t="str">
            <v>Römer   Holger</v>
          </cell>
          <cell r="K795">
            <v>30983</v>
          </cell>
        </row>
        <row r="796">
          <cell r="D796">
            <v>210894</v>
          </cell>
          <cell r="E796" t="str">
            <v>RKB</v>
          </cell>
          <cell r="F796" t="str">
            <v>RKB  210894</v>
          </cell>
          <cell r="G796" t="str">
            <v>RSV Halle III</v>
          </cell>
          <cell r="H796" t="str">
            <v>Römermann</v>
          </cell>
          <cell r="I796" t="str">
            <v>Martin</v>
          </cell>
          <cell r="J796" t="str">
            <v>Römermann   Martin</v>
          </cell>
          <cell r="K796">
            <v>22446</v>
          </cell>
        </row>
        <row r="797">
          <cell r="D797">
            <v>210895</v>
          </cell>
          <cell r="E797" t="str">
            <v>RKB</v>
          </cell>
          <cell r="F797" t="str">
            <v>RKB  210895</v>
          </cell>
          <cell r="G797" t="str">
            <v>RSV Halle II</v>
          </cell>
          <cell r="H797" t="str">
            <v>Römermann</v>
          </cell>
          <cell r="I797" t="str">
            <v>Wolfgang</v>
          </cell>
          <cell r="J797" t="str">
            <v>Römermann   Wolfgang</v>
          </cell>
          <cell r="K797">
            <v>22780</v>
          </cell>
        </row>
        <row r="798">
          <cell r="D798">
            <v>93111</v>
          </cell>
          <cell r="E798" t="str">
            <v>NDS</v>
          </cell>
          <cell r="F798" t="str">
            <v>NDS  93111</v>
          </cell>
          <cell r="G798" t="str">
            <v>TSV Barrien</v>
          </cell>
          <cell r="H798" t="str">
            <v>Roßdeutscher</v>
          </cell>
          <cell r="I798" t="str">
            <v>Jan-Lauritz</v>
          </cell>
          <cell r="J798" t="str">
            <v>Roßdeutscher   Jan-Lauritz</v>
          </cell>
          <cell r="K798">
            <v>32704</v>
          </cell>
        </row>
        <row r="799">
          <cell r="D799">
            <v>75179</v>
          </cell>
          <cell r="E799" t="str">
            <v>HES</v>
          </cell>
          <cell r="F799" t="str">
            <v>HES  75179</v>
          </cell>
          <cell r="G799" t="str">
            <v>RSV Seeheim</v>
          </cell>
          <cell r="H799" t="str">
            <v>Roßmann</v>
          </cell>
          <cell r="I799" t="str">
            <v>Mareike</v>
          </cell>
          <cell r="J799" t="str">
            <v>Roßmann   Mareike</v>
          </cell>
          <cell r="K799">
            <v>33030</v>
          </cell>
        </row>
        <row r="800">
          <cell r="D800">
            <v>10051843753</v>
          </cell>
          <cell r="E800" t="str">
            <v>NDS</v>
          </cell>
          <cell r="F800" t="str">
            <v>NDS  10051843753</v>
          </cell>
          <cell r="G800" t="str">
            <v>RSVL Gifhorn II</v>
          </cell>
          <cell r="H800" t="str">
            <v>Rowold</v>
          </cell>
          <cell r="I800" t="str">
            <v>Cedric</v>
          </cell>
          <cell r="J800" t="str">
            <v>Rowold   Cedric</v>
          </cell>
          <cell r="K800">
            <v>36721</v>
          </cell>
        </row>
        <row r="801">
          <cell r="D801">
            <v>10051768173</v>
          </cell>
          <cell r="E801" t="str">
            <v>NDS</v>
          </cell>
          <cell r="F801" t="str">
            <v>NDS  10051768173</v>
          </cell>
          <cell r="G801" t="str">
            <v>RSVL Gifhorn I</v>
          </cell>
          <cell r="H801" t="str">
            <v>Rowold</v>
          </cell>
          <cell r="I801" t="str">
            <v>Corvin</v>
          </cell>
          <cell r="J801" t="str">
            <v>Rowold   Corvin</v>
          </cell>
          <cell r="K801">
            <v>37811</v>
          </cell>
        </row>
        <row r="802">
          <cell r="D802">
            <v>93401</v>
          </cell>
          <cell r="E802" t="str">
            <v>NDS</v>
          </cell>
          <cell r="F802" t="str">
            <v>NDS  93401</v>
          </cell>
          <cell r="G802" t="str">
            <v>RSVL Gifhorn I</v>
          </cell>
          <cell r="H802" t="str">
            <v>Rowold</v>
          </cell>
          <cell r="I802" t="str">
            <v>Frank</v>
          </cell>
          <cell r="J802" t="str">
            <v>Rowold   Frank</v>
          </cell>
          <cell r="K802">
            <v>22785</v>
          </cell>
        </row>
        <row r="803">
          <cell r="D803">
            <v>90662</v>
          </cell>
          <cell r="E803" t="str">
            <v>NDS</v>
          </cell>
          <cell r="F803" t="str">
            <v>NDS  90662</v>
          </cell>
          <cell r="G803" t="str">
            <v>RSVL Gifhorn IV</v>
          </cell>
          <cell r="H803" t="str">
            <v>Rowold</v>
          </cell>
          <cell r="I803" t="str">
            <v>Ingo</v>
          </cell>
          <cell r="J803" t="str">
            <v>Rowold   Ingo</v>
          </cell>
          <cell r="K803">
            <v>22785</v>
          </cell>
        </row>
        <row r="804">
          <cell r="D804">
            <v>10051810411</v>
          </cell>
          <cell r="E804" t="str">
            <v>NDS</v>
          </cell>
          <cell r="F804" t="str">
            <v>NDS  10051810411</v>
          </cell>
          <cell r="G804" t="str">
            <v>RSVL Gifhorn II</v>
          </cell>
          <cell r="H804" t="str">
            <v>Rowold</v>
          </cell>
          <cell r="I804" t="str">
            <v>Jan</v>
          </cell>
          <cell r="J804" t="str">
            <v>Rowold   Jan</v>
          </cell>
          <cell r="K804">
            <v>34208</v>
          </cell>
        </row>
        <row r="805">
          <cell r="D805">
            <v>90663</v>
          </cell>
          <cell r="E805" t="str">
            <v>NDS</v>
          </cell>
          <cell r="F805" t="str">
            <v>NDS  90663</v>
          </cell>
          <cell r="G805" t="str">
            <v>RSVL Gifhorn IV</v>
          </cell>
          <cell r="H805" t="str">
            <v>Rowold</v>
          </cell>
          <cell r="I805" t="str">
            <v>Jens</v>
          </cell>
          <cell r="J805" t="str">
            <v>Rowold   Jens</v>
          </cell>
          <cell r="K805">
            <v>21719</v>
          </cell>
        </row>
        <row r="806">
          <cell r="D806">
            <v>95565</v>
          </cell>
          <cell r="E806" t="str">
            <v>NDS</v>
          </cell>
          <cell r="F806" t="str">
            <v>NDS  95565</v>
          </cell>
          <cell r="G806" t="str">
            <v>RVT Aschendorf I</v>
          </cell>
          <cell r="H806" t="str">
            <v>Rubino</v>
          </cell>
          <cell r="I806" t="str">
            <v>Marco</v>
          </cell>
          <cell r="J806" t="str">
            <v>Rubino   Marco</v>
          </cell>
          <cell r="K806">
            <v>36488</v>
          </cell>
        </row>
        <row r="807">
          <cell r="D807">
            <v>10051092712</v>
          </cell>
          <cell r="E807" t="str">
            <v>BRA</v>
          </cell>
          <cell r="F807" t="str">
            <v>BRA  10051092712</v>
          </cell>
          <cell r="G807" t="str">
            <v>LRV Cottbus</v>
          </cell>
          <cell r="H807" t="str">
            <v>Ruch</v>
          </cell>
          <cell r="I807" t="str">
            <v>Karl - Robert</v>
          </cell>
          <cell r="J807" t="str">
            <v>Ruch   Karl - Robert</v>
          </cell>
          <cell r="K807">
            <v>38804</v>
          </cell>
        </row>
        <row r="808">
          <cell r="D808">
            <v>10071993279</v>
          </cell>
          <cell r="E808" t="str">
            <v>NDS</v>
          </cell>
          <cell r="F808" t="str">
            <v>NDS  10071993279</v>
          </cell>
          <cell r="G808" t="str">
            <v>RVS Obernfeld II</v>
          </cell>
          <cell r="H808" t="str">
            <v>Rudolph</v>
          </cell>
          <cell r="I808" t="str">
            <v>Calvin</v>
          </cell>
          <cell r="J808" t="str">
            <v>Rudolph   Calvin</v>
          </cell>
          <cell r="K808">
            <v>39785</v>
          </cell>
        </row>
        <row r="809">
          <cell r="D809">
            <v>10144920307</v>
          </cell>
          <cell r="E809" t="str">
            <v>NDS</v>
          </cell>
          <cell r="F809" t="str">
            <v>NDS  10144920307</v>
          </cell>
          <cell r="G809" t="str">
            <v>RVS Obernfeld II</v>
          </cell>
          <cell r="H809" t="str">
            <v>Rudolph</v>
          </cell>
          <cell r="I809" t="str">
            <v>Lea</v>
          </cell>
          <cell r="J809" t="str">
            <v>Rudolph   Lea</v>
          </cell>
          <cell r="K809">
            <v>41261</v>
          </cell>
        </row>
        <row r="810">
          <cell r="D810">
            <v>213200</v>
          </cell>
          <cell r="E810" t="str">
            <v>RKB</v>
          </cell>
          <cell r="F810" t="str">
            <v>RKB  213200</v>
          </cell>
          <cell r="G810" t="str">
            <v>RSV Frellstedt IV</v>
          </cell>
          <cell r="H810" t="str">
            <v>Ruhnau</v>
          </cell>
          <cell r="I810" t="str">
            <v>André</v>
          </cell>
          <cell r="J810" t="str">
            <v>Ruhnau   André</v>
          </cell>
          <cell r="K810">
            <v>32110</v>
          </cell>
        </row>
        <row r="811">
          <cell r="D811">
            <v>92593</v>
          </cell>
          <cell r="E811" t="str">
            <v>NDS</v>
          </cell>
          <cell r="F811" t="str">
            <v>NDS  92593</v>
          </cell>
          <cell r="G811" t="str">
            <v>RV Warfleth </v>
          </cell>
          <cell r="H811" t="str">
            <v>Sachse</v>
          </cell>
          <cell r="I811" t="str">
            <v>Diemo</v>
          </cell>
          <cell r="J811" t="str">
            <v>Sachse   Diemo</v>
          </cell>
          <cell r="K811">
            <v>27521</v>
          </cell>
        </row>
        <row r="812">
          <cell r="D812">
            <v>142113</v>
          </cell>
          <cell r="E812" t="str">
            <v>SAH</v>
          </cell>
          <cell r="F812" t="str">
            <v>SAH  142113</v>
          </cell>
          <cell r="G812" t="str">
            <v>Tollwitzer RSV</v>
          </cell>
          <cell r="H812" t="str">
            <v>Salamon</v>
          </cell>
          <cell r="I812" t="str">
            <v>Nadine</v>
          </cell>
          <cell r="J812" t="str">
            <v>Salamon   Nadine</v>
          </cell>
          <cell r="K812">
            <v>36710</v>
          </cell>
        </row>
        <row r="813">
          <cell r="D813">
            <v>92274</v>
          </cell>
          <cell r="E813" t="str">
            <v>NDS</v>
          </cell>
          <cell r="F813" t="str">
            <v>NDS  92274</v>
          </cell>
          <cell r="G813" t="str">
            <v>RCG Hahndorf III</v>
          </cell>
          <cell r="H813" t="str">
            <v>Salzwedel</v>
          </cell>
          <cell r="I813" t="str">
            <v>Stefan</v>
          </cell>
          <cell r="J813" t="str">
            <v>Salzwedel   Stefan</v>
          </cell>
          <cell r="K813">
            <v>32795</v>
          </cell>
        </row>
        <row r="814">
          <cell r="D814">
            <v>10072450896</v>
          </cell>
          <cell r="E814" t="str">
            <v>NDS</v>
          </cell>
          <cell r="F814" t="str">
            <v>NDS  10072450896</v>
          </cell>
          <cell r="G814" t="str">
            <v>RSV Bramsche I</v>
          </cell>
          <cell r="H814" t="str">
            <v>Sandmann</v>
          </cell>
          <cell r="I814" t="str">
            <v>Maxemilian</v>
          </cell>
          <cell r="J814" t="str">
            <v>Sandmann   Maxemilian</v>
          </cell>
          <cell r="K814">
            <v>38667</v>
          </cell>
        </row>
        <row r="815">
          <cell r="D815">
            <v>10036525534</v>
          </cell>
          <cell r="E815" t="str">
            <v>NDS</v>
          </cell>
          <cell r="F815" t="str">
            <v>NDS  10036525534</v>
          </cell>
          <cell r="G815" t="str">
            <v>RCT Hannover I</v>
          </cell>
          <cell r="H815" t="str">
            <v>Sänger</v>
          </cell>
          <cell r="I815" t="str">
            <v>Stephan</v>
          </cell>
          <cell r="J815" t="str">
            <v>Sänger   Stephan</v>
          </cell>
          <cell r="K815">
            <v>32012</v>
          </cell>
        </row>
        <row r="816">
          <cell r="D816">
            <v>609726</v>
          </cell>
          <cell r="E816" t="str">
            <v>NRW</v>
          </cell>
          <cell r="F816" t="str">
            <v>NRW  609726</v>
          </cell>
          <cell r="G816" t="str">
            <v>RSV Münster III</v>
          </cell>
          <cell r="H816" t="str">
            <v>Sardo</v>
          </cell>
          <cell r="I816" t="str">
            <v>Daniele</v>
          </cell>
          <cell r="J816" t="str">
            <v>Sardo   Daniele</v>
          </cell>
          <cell r="K816">
            <v>36740</v>
          </cell>
        </row>
        <row r="817">
          <cell r="D817">
            <v>10199100100</v>
          </cell>
          <cell r="E817" t="str">
            <v>HES</v>
          </cell>
          <cell r="F817" t="str">
            <v>HES  10199100100</v>
          </cell>
          <cell r="G817" t="str">
            <v>RV Laubach</v>
          </cell>
          <cell r="H817" t="str">
            <v>Sauerbrey</v>
          </cell>
          <cell r="I817" t="str">
            <v>Nico Maximilian</v>
          </cell>
          <cell r="J817" t="str">
            <v>Sauerbrey   Nico Maximilian</v>
          </cell>
          <cell r="K817">
            <v>40609</v>
          </cell>
        </row>
        <row r="818">
          <cell r="D818">
            <v>10052424440</v>
          </cell>
          <cell r="E818" t="str">
            <v>NRW</v>
          </cell>
          <cell r="F818" t="str">
            <v>NRW  10052424440</v>
          </cell>
          <cell r="G818" t="str">
            <v>RSV Schwalbe Oelde I</v>
          </cell>
          <cell r="H818" t="str">
            <v>Savic</v>
          </cell>
          <cell r="I818" t="str">
            <v>Adrian </v>
          </cell>
          <cell r="J818" t="str">
            <v>Savic   Adrian </v>
          </cell>
          <cell r="K818">
            <v>38334</v>
          </cell>
        </row>
        <row r="819">
          <cell r="D819">
            <v>95290</v>
          </cell>
          <cell r="E819" t="str">
            <v>NDS</v>
          </cell>
          <cell r="F819" t="str">
            <v>NDS  95290</v>
          </cell>
          <cell r="G819" t="str">
            <v>RCG Hahndorf II</v>
          </cell>
          <cell r="H819" t="str">
            <v>Schade</v>
          </cell>
          <cell r="I819" t="str">
            <v>Lars Sebastian</v>
          </cell>
          <cell r="J819" t="str">
            <v>Schade   Lars Sebastian</v>
          </cell>
          <cell r="K819">
            <v>36432</v>
          </cell>
        </row>
        <row r="820">
          <cell r="D820">
            <v>709114</v>
          </cell>
          <cell r="E820" t="str">
            <v>BRA</v>
          </cell>
          <cell r="F820" t="str">
            <v>BRA  709114</v>
          </cell>
          <cell r="G820" t="str">
            <v>Ludwigsfelder RC</v>
          </cell>
          <cell r="H820" t="str">
            <v>Schadow</v>
          </cell>
          <cell r="I820" t="str">
            <v>Marc</v>
          </cell>
          <cell r="J820" t="str">
            <v>Schadow   Marc</v>
          </cell>
          <cell r="K820">
            <v>38863</v>
          </cell>
        </row>
        <row r="821">
          <cell r="D821">
            <v>10036553725</v>
          </cell>
          <cell r="E821" t="str">
            <v>HES</v>
          </cell>
          <cell r="F821" t="str">
            <v>HES  10036553725</v>
          </cell>
          <cell r="G821" t="str">
            <v>RVT Wölfersheim</v>
          </cell>
          <cell r="H821" t="str">
            <v>Schäfer </v>
          </cell>
          <cell r="I821" t="str">
            <v>Phil </v>
          </cell>
          <cell r="J821" t="str">
            <v>Schäfer    Phil </v>
          </cell>
          <cell r="K821">
            <v>38819</v>
          </cell>
        </row>
        <row r="822">
          <cell r="D822">
            <v>96005</v>
          </cell>
          <cell r="E822" t="str">
            <v>NDS</v>
          </cell>
          <cell r="F822" t="str">
            <v>NDS  96005</v>
          </cell>
          <cell r="G822" t="str">
            <v>RVT Aschendorf</v>
          </cell>
          <cell r="H822" t="str">
            <v>Schaupmann</v>
          </cell>
          <cell r="I822" t="str">
            <v>Jasmin</v>
          </cell>
          <cell r="J822" t="str">
            <v>Schaupmann   Jasmin</v>
          </cell>
          <cell r="K822">
            <v>35371</v>
          </cell>
        </row>
        <row r="823">
          <cell r="D823">
            <v>10043828523</v>
          </cell>
          <cell r="E823" t="str">
            <v>RKB</v>
          </cell>
          <cell r="F823" t="str">
            <v>RKB  10043828523</v>
          </cell>
          <cell r="G823" t="str">
            <v>RSV Bramsche III</v>
          </cell>
          <cell r="H823" t="str">
            <v>Scheerhorn</v>
          </cell>
          <cell r="I823" t="str">
            <v>Arno</v>
          </cell>
          <cell r="J823" t="str">
            <v>Scheerhorn   Arno</v>
          </cell>
          <cell r="K823">
            <v>36395</v>
          </cell>
        </row>
        <row r="824">
          <cell r="D824">
            <v>109781</v>
          </cell>
          <cell r="E824" t="str">
            <v>NRW</v>
          </cell>
          <cell r="F824" t="str">
            <v>NRW  109781</v>
          </cell>
          <cell r="G824" t="str">
            <v>RV Methler I</v>
          </cell>
          <cell r="H824" t="str">
            <v>Schelkmann</v>
          </cell>
          <cell r="I824" t="str">
            <v>Lisa</v>
          </cell>
          <cell r="J824" t="str">
            <v>Schelkmann   Lisa</v>
          </cell>
          <cell r="K824">
            <v>33802</v>
          </cell>
        </row>
        <row r="825">
          <cell r="D825">
            <v>214301</v>
          </cell>
          <cell r="E825" t="str">
            <v>RKB</v>
          </cell>
          <cell r="F825" t="str">
            <v>RKB  214301</v>
          </cell>
          <cell r="G825" t="str">
            <v>RSV Frellstedt I</v>
          </cell>
          <cell r="H825" t="str">
            <v>Schellenberg</v>
          </cell>
          <cell r="I825" t="str">
            <v>Jennifer</v>
          </cell>
          <cell r="J825" t="str">
            <v>Schellenberg   Jennifer</v>
          </cell>
          <cell r="K825">
            <v>35283</v>
          </cell>
        </row>
        <row r="826">
          <cell r="D826">
            <v>214510</v>
          </cell>
          <cell r="E826" t="str">
            <v>RKB</v>
          </cell>
          <cell r="F826" t="str">
            <v>RKB  214510</v>
          </cell>
          <cell r="G826" t="str">
            <v>RSV Frellstedt I</v>
          </cell>
          <cell r="H826" t="str">
            <v>Schellenberg</v>
          </cell>
          <cell r="I826" t="str">
            <v>Liesa</v>
          </cell>
          <cell r="J826" t="str">
            <v>Schellenberg   Liesa</v>
          </cell>
          <cell r="K826">
            <v>36300</v>
          </cell>
        </row>
        <row r="827">
          <cell r="D827">
            <v>606665</v>
          </cell>
          <cell r="E827" t="str">
            <v>NRW</v>
          </cell>
          <cell r="F827" t="str">
            <v>NRW  606665</v>
          </cell>
          <cell r="G827" t="str">
            <v>RRSV Altena I</v>
          </cell>
          <cell r="H827" t="str">
            <v>Schenck</v>
          </cell>
          <cell r="I827" t="str">
            <v>Philipp</v>
          </cell>
          <cell r="J827" t="str">
            <v>Schenck   Philipp</v>
          </cell>
          <cell r="K827">
            <v>35333</v>
          </cell>
        </row>
        <row r="828">
          <cell r="D828">
            <v>10122920707</v>
          </cell>
          <cell r="E828" t="str">
            <v>HES</v>
          </cell>
          <cell r="F828" t="str">
            <v>HES  10122920707</v>
          </cell>
          <cell r="G828" t="str">
            <v>RV Laubach</v>
          </cell>
          <cell r="H828" t="str">
            <v>Schenker</v>
          </cell>
          <cell r="I828" t="str">
            <v>Tobias</v>
          </cell>
          <cell r="J828" t="str">
            <v>Schenker   Tobias</v>
          </cell>
          <cell r="K828">
            <v>40799</v>
          </cell>
        </row>
        <row r="829">
          <cell r="D829">
            <v>10043814981</v>
          </cell>
          <cell r="E829" t="str">
            <v>NDS</v>
          </cell>
          <cell r="F829" t="str">
            <v>NDS  10043814981</v>
          </cell>
          <cell r="G829" t="str">
            <v>RCG Hahndorf III</v>
          </cell>
          <cell r="H829" t="str">
            <v>Schiller</v>
          </cell>
          <cell r="I829" t="str">
            <v>Robin</v>
          </cell>
          <cell r="J829" t="str">
            <v>Schiller   Robin</v>
          </cell>
          <cell r="K829">
            <v>35910</v>
          </cell>
        </row>
        <row r="830">
          <cell r="D830">
            <v>97063</v>
          </cell>
          <cell r="E830" t="str">
            <v>NDS</v>
          </cell>
          <cell r="F830" t="str">
            <v>NDS  97063</v>
          </cell>
          <cell r="G830" t="str">
            <v>RSVL Gifhorn II</v>
          </cell>
          <cell r="H830" t="str">
            <v>Schilling</v>
          </cell>
          <cell r="I830" t="str">
            <v>Christoph</v>
          </cell>
          <cell r="J830" t="str">
            <v>Schilling   Christoph</v>
          </cell>
          <cell r="K830">
            <v>34986</v>
          </cell>
        </row>
        <row r="831">
          <cell r="D831">
            <v>214755</v>
          </cell>
          <cell r="E831" t="str">
            <v>RKB</v>
          </cell>
          <cell r="F831" t="str">
            <v>RKB  214755</v>
          </cell>
          <cell r="G831" t="str">
            <v>RSV Frellstedt II</v>
          </cell>
          <cell r="H831" t="str">
            <v>Schirmer</v>
          </cell>
          <cell r="I831" t="str">
            <v>Anna</v>
          </cell>
          <cell r="J831" t="str">
            <v>Schirmer   Anna</v>
          </cell>
          <cell r="K831">
            <v>36736</v>
          </cell>
        </row>
        <row r="832">
          <cell r="D832">
            <v>10136673485</v>
          </cell>
          <cell r="E832" t="str">
            <v>RKB</v>
          </cell>
          <cell r="F832" t="str">
            <v>RKB  10136673485</v>
          </cell>
          <cell r="G832" t="str">
            <v>RSV Halle III</v>
          </cell>
          <cell r="H832" t="str">
            <v>Schlicht</v>
          </cell>
          <cell r="I832" t="str">
            <v>Jolina</v>
          </cell>
          <cell r="J832" t="str">
            <v>Schlicht   Jolina</v>
          </cell>
          <cell r="K832">
            <v>40638</v>
          </cell>
        </row>
        <row r="833">
          <cell r="D833">
            <v>10099306560</v>
          </cell>
          <cell r="E833" t="str">
            <v>NDS</v>
          </cell>
          <cell r="F833" t="str">
            <v>NDS  10099306560</v>
          </cell>
          <cell r="G833" t="str">
            <v>RVM Bilshausen III</v>
          </cell>
          <cell r="H833" t="str">
            <v>Schlick</v>
          </cell>
          <cell r="I833" t="str">
            <v>Adrian</v>
          </cell>
          <cell r="J833" t="str">
            <v>Schlick   Adrian</v>
          </cell>
          <cell r="K833">
            <v>40380</v>
          </cell>
        </row>
        <row r="834">
          <cell r="D834">
            <v>10036201289</v>
          </cell>
          <cell r="E834" t="str">
            <v>NRW</v>
          </cell>
          <cell r="F834" t="str">
            <v>NRW  10036201289</v>
          </cell>
          <cell r="G834" t="str">
            <v>RSC Niedermehnen I a.K.</v>
          </cell>
          <cell r="H834" t="str">
            <v>Schlüter</v>
          </cell>
          <cell r="I834" t="str">
            <v>Mia</v>
          </cell>
          <cell r="J834" t="str">
            <v>Schlüter   Mia</v>
          </cell>
          <cell r="K834">
            <v>39447</v>
          </cell>
        </row>
        <row r="835">
          <cell r="D835">
            <v>90714</v>
          </cell>
          <cell r="E835" t="str">
            <v>NDS</v>
          </cell>
          <cell r="F835" t="str">
            <v>NDS  90714</v>
          </cell>
          <cell r="G835" t="str">
            <v>RTC Hildesheim</v>
          </cell>
          <cell r="H835" t="str">
            <v>Schmalbruch</v>
          </cell>
          <cell r="I835" t="str">
            <v>Karin</v>
          </cell>
          <cell r="J835" t="str">
            <v>Schmalbruch   Karin</v>
          </cell>
          <cell r="K835">
            <v>24065</v>
          </cell>
        </row>
        <row r="836">
          <cell r="D836">
            <v>91032</v>
          </cell>
          <cell r="E836" t="str">
            <v>NDS</v>
          </cell>
          <cell r="F836" t="str">
            <v>NDS  91032</v>
          </cell>
          <cell r="G836" t="str">
            <v>RV Warfleth I</v>
          </cell>
          <cell r="H836" t="str">
            <v>Schmeldtenkopf</v>
          </cell>
          <cell r="I836" t="str">
            <v>Lars</v>
          </cell>
          <cell r="J836" t="str">
            <v>Schmeldtenkopf   Lars</v>
          </cell>
          <cell r="K836">
            <v>27580</v>
          </cell>
        </row>
        <row r="837">
          <cell r="D837">
            <v>95117</v>
          </cell>
          <cell r="E837" t="str">
            <v>NDS</v>
          </cell>
          <cell r="F837" t="str">
            <v>NDS  95117</v>
          </cell>
          <cell r="G837" t="str">
            <v>RTC Hildesheim</v>
          </cell>
          <cell r="H837" t="str">
            <v>Schmidt</v>
          </cell>
          <cell r="I837" t="str">
            <v>Felix</v>
          </cell>
          <cell r="J837" t="str">
            <v>Schmidt   Felix</v>
          </cell>
          <cell r="K837">
            <v>36484</v>
          </cell>
        </row>
        <row r="838">
          <cell r="D838">
            <v>98062</v>
          </cell>
          <cell r="E838" t="str">
            <v>NDS</v>
          </cell>
          <cell r="F838" t="str">
            <v>NDS  98062</v>
          </cell>
          <cell r="G838" t="str">
            <v>RVM Bilshausen III</v>
          </cell>
          <cell r="H838" t="str">
            <v>Schmidt</v>
          </cell>
          <cell r="I838" t="str">
            <v>Jonas</v>
          </cell>
          <cell r="J838" t="str">
            <v>Schmidt   Jonas</v>
          </cell>
          <cell r="K838">
            <v>37260</v>
          </cell>
        </row>
        <row r="839">
          <cell r="D839">
            <v>98142</v>
          </cell>
          <cell r="E839" t="str">
            <v>NDS</v>
          </cell>
          <cell r="F839" t="str">
            <v>NDS  98142</v>
          </cell>
          <cell r="G839" t="str">
            <v>RTC Hildesheim</v>
          </cell>
          <cell r="H839" t="str">
            <v>Schmidt</v>
          </cell>
          <cell r="I839" t="str">
            <v>Nils</v>
          </cell>
          <cell r="J839" t="str">
            <v>Schmidt   Nils</v>
          </cell>
          <cell r="K839">
            <v>32431</v>
          </cell>
        </row>
        <row r="840">
          <cell r="D840">
            <v>214012</v>
          </cell>
          <cell r="E840" t="str">
            <v>RKB</v>
          </cell>
          <cell r="F840" t="str">
            <v>RKB  214012</v>
          </cell>
          <cell r="G840" t="str">
            <v>SC Woltringhausen II</v>
          </cell>
          <cell r="H840" t="str">
            <v>Schmidt</v>
          </cell>
          <cell r="I840" t="str">
            <v>Rebecca</v>
          </cell>
          <cell r="J840" t="str">
            <v>Schmidt   Rebecca</v>
          </cell>
          <cell r="K840">
            <v>34700</v>
          </cell>
        </row>
        <row r="841">
          <cell r="D841">
            <v>10102533024</v>
          </cell>
          <cell r="E841" t="str">
            <v>RKB</v>
          </cell>
          <cell r="F841" t="str">
            <v>RKB  10102533024</v>
          </cell>
          <cell r="G841" t="str">
            <v>RSV Frellstedt III</v>
          </cell>
          <cell r="H841" t="str">
            <v>Schmidt</v>
          </cell>
          <cell r="I841" t="str">
            <v>Rieke Helene</v>
          </cell>
          <cell r="J841" t="str">
            <v>Schmidt   Rieke Helene</v>
          </cell>
          <cell r="K841">
            <v>40001</v>
          </cell>
        </row>
        <row r="842">
          <cell r="D842">
            <v>92491</v>
          </cell>
          <cell r="E842" t="str">
            <v>NDS</v>
          </cell>
          <cell r="F842" t="str">
            <v>NDS  92491</v>
          </cell>
          <cell r="G842" t="str">
            <v>RCT Hannover II</v>
          </cell>
          <cell r="H842" t="str">
            <v>Schmidt</v>
          </cell>
          <cell r="I842" t="str">
            <v>Roland</v>
          </cell>
          <cell r="J842" t="str">
            <v>Schmidt   Roland</v>
          </cell>
          <cell r="K842">
            <v>24090</v>
          </cell>
        </row>
        <row r="843">
          <cell r="D843">
            <v>76162</v>
          </cell>
          <cell r="E843" t="str">
            <v>HES</v>
          </cell>
          <cell r="F843" t="str">
            <v>HES  76162</v>
          </cell>
          <cell r="G843" t="str">
            <v>RSV Kostheim II</v>
          </cell>
          <cell r="H843" t="str">
            <v>Schmidtlehner</v>
          </cell>
          <cell r="I843" t="str">
            <v>Melanie</v>
          </cell>
          <cell r="J843" t="str">
            <v>Schmidtlehner   Melanie</v>
          </cell>
          <cell r="K843">
            <v>34566</v>
          </cell>
        </row>
        <row r="844">
          <cell r="D844">
            <v>214742</v>
          </cell>
          <cell r="E844" t="str">
            <v>NRW</v>
          </cell>
          <cell r="F844" t="str">
            <v>NRW  214742</v>
          </cell>
          <cell r="G844" t="str">
            <v>RMSV Düsseldorf</v>
          </cell>
          <cell r="H844" t="str">
            <v>Schmitz</v>
          </cell>
          <cell r="I844" t="str">
            <v>Torsten</v>
          </cell>
          <cell r="J844" t="str">
            <v>Schmitz   Torsten</v>
          </cell>
          <cell r="K844">
            <v>35862</v>
          </cell>
        </row>
        <row r="845">
          <cell r="D845">
            <v>98017</v>
          </cell>
          <cell r="E845" t="str">
            <v>NDS</v>
          </cell>
          <cell r="F845" t="str">
            <v>NDS  98017</v>
          </cell>
          <cell r="G845" t="str">
            <v>RVGR Oker a.K.</v>
          </cell>
          <cell r="H845" t="str">
            <v>Schneider</v>
          </cell>
          <cell r="I845" t="str">
            <v>Eric</v>
          </cell>
          <cell r="J845" t="str">
            <v>Schneider   Eric</v>
          </cell>
          <cell r="K845">
            <v>34550</v>
          </cell>
        </row>
        <row r="846">
          <cell r="D846">
            <v>211947</v>
          </cell>
          <cell r="E846" t="str">
            <v>RKB</v>
          </cell>
          <cell r="F846" t="str">
            <v>RKB  211947</v>
          </cell>
          <cell r="G846" t="str">
            <v>RSV Halle Jun</v>
          </cell>
          <cell r="H846" t="str">
            <v>Schneider</v>
          </cell>
          <cell r="I846" t="str">
            <v>Joana</v>
          </cell>
          <cell r="J846" t="str">
            <v>Schneider   Joana</v>
          </cell>
          <cell r="K846">
            <v>32790</v>
          </cell>
        </row>
        <row r="847">
          <cell r="D847">
            <v>216413</v>
          </cell>
          <cell r="E847" t="str">
            <v>RKB</v>
          </cell>
          <cell r="F847" t="str">
            <v>RKB  216413</v>
          </cell>
          <cell r="G847" t="str">
            <v>RSV Halle II a.K.</v>
          </cell>
          <cell r="H847" t="str">
            <v>Scholz</v>
          </cell>
          <cell r="I847" t="str">
            <v>Julian</v>
          </cell>
          <cell r="J847" t="str">
            <v>Scholz   Julian</v>
          </cell>
          <cell r="K847">
            <v>36075</v>
          </cell>
        </row>
        <row r="848">
          <cell r="D848">
            <v>90716</v>
          </cell>
          <cell r="E848" t="str">
            <v>NDS</v>
          </cell>
          <cell r="F848" t="str">
            <v>NDS  90716</v>
          </cell>
          <cell r="G848" t="str">
            <v>RTC Hildesheim I</v>
          </cell>
          <cell r="H848" t="str">
            <v>Scholz</v>
          </cell>
          <cell r="I848" t="str">
            <v>Timo</v>
          </cell>
          <cell r="J848" t="str">
            <v>Scholz   Timo</v>
          </cell>
          <cell r="K848">
            <v>29484</v>
          </cell>
        </row>
        <row r="849">
          <cell r="D849">
            <v>213192</v>
          </cell>
          <cell r="E849" t="str">
            <v>RKB</v>
          </cell>
          <cell r="F849" t="str">
            <v>RKB  213192</v>
          </cell>
          <cell r="G849" t="str">
            <v>RSV Bramsche II</v>
          </cell>
          <cell r="H849" t="str">
            <v>Schoppmeier</v>
          </cell>
          <cell r="I849" t="str">
            <v>Henning</v>
          </cell>
          <cell r="J849" t="str">
            <v>Schoppmeier   Henning</v>
          </cell>
          <cell r="K849">
            <v>33264</v>
          </cell>
        </row>
        <row r="850">
          <cell r="D850">
            <v>10043819853</v>
          </cell>
          <cell r="E850" t="str">
            <v>NDS</v>
          </cell>
          <cell r="F850" t="str">
            <v>NDS  10043819853</v>
          </cell>
          <cell r="G850" t="str">
            <v>RVA Rollshausen I</v>
          </cell>
          <cell r="H850" t="str">
            <v>Schrader</v>
          </cell>
          <cell r="I850" t="str">
            <v>Tim</v>
          </cell>
          <cell r="J850" t="str">
            <v>Schrader   Tim</v>
          </cell>
          <cell r="K850">
            <v>37179</v>
          </cell>
        </row>
        <row r="851">
          <cell r="D851">
            <v>10036395390</v>
          </cell>
          <cell r="E851" t="str">
            <v>NDS</v>
          </cell>
          <cell r="F851" t="str">
            <v>NDS  10036395390</v>
          </cell>
          <cell r="G851" t="str">
            <v>RVM Bilshausen II</v>
          </cell>
          <cell r="H851" t="str">
            <v>Schreier</v>
          </cell>
          <cell r="I851" t="str">
            <v>Leon</v>
          </cell>
          <cell r="J851" t="str">
            <v>Schreier   Leon</v>
          </cell>
          <cell r="K851">
            <v>37359</v>
          </cell>
        </row>
        <row r="852">
          <cell r="D852">
            <v>10096601270</v>
          </cell>
          <cell r="E852" t="str">
            <v>BRE</v>
          </cell>
          <cell r="F852" t="str">
            <v>BRE  10096601270</v>
          </cell>
          <cell r="G852" t="str">
            <v>RTSW Bremen</v>
          </cell>
          <cell r="H852" t="str">
            <v>Schröder</v>
          </cell>
          <cell r="I852" t="str">
            <v>Daniel</v>
          </cell>
          <cell r="J852" t="str">
            <v>Schröder   Daniel</v>
          </cell>
          <cell r="K852">
            <v>32202</v>
          </cell>
        </row>
        <row r="853">
          <cell r="D853">
            <v>10073082410</v>
          </cell>
          <cell r="E853" t="str">
            <v>NDS</v>
          </cell>
          <cell r="F853" t="str">
            <v>NDS  10073082410</v>
          </cell>
          <cell r="G853" t="str">
            <v>RCT Hannover I</v>
          </cell>
          <cell r="H853" t="str">
            <v>Schröder</v>
          </cell>
          <cell r="I853" t="str">
            <v>Fabian</v>
          </cell>
          <cell r="J853" t="str">
            <v>Schröder   Fabian</v>
          </cell>
          <cell r="K853">
            <v>38469</v>
          </cell>
        </row>
        <row r="854">
          <cell r="D854">
            <v>99009</v>
          </cell>
          <cell r="E854" t="str">
            <v>NDS</v>
          </cell>
          <cell r="F854" t="str">
            <v>NDS  99009</v>
          </cell>
          <cell r="G854" t="str">
            <v>RVW Gieboldehausen II</v>
          </cell>
          <cell r="H854" t="str">
            <v>Schröder </v>
          </cell>
          <cell r="I854" t="str">
            <v>Daniel</v>
          </cell>
          <cell r="J854" t="str">
            <v>Schröder    Daniel</v>
          </cell>
          <cell r="K854">
            <v>31927</v>
          </cell>
        </row>
        <row r="855">
          <cell r="D855">
            <v>213467</v>
          </cell>
          <cell r="E855" t="str">
            <v>RKB</v>
          </cell>
          <cell r="F855" t="str">
            <v>RKB  213467</v>
          </cell>
          <cell r="G855" t="str">
            <v>RSV Frellstedt II</v>
          </cell>
          <cell r="H855" t="str">
            <v>Schröder </v>
          </cell>
          <cell r="I855" t="str">
            <v>Lea</v>
          </cell>
          <cell r="J855" t="str">
            <v>Schröder    Lea</v>
          </cell>
          <cell r="K855">
            <v>34191</v>
          </cell>
        </row>
        <row r="856">
          <cell r="D856">
            <v>214508</v>
          </cell>
          <cell r="E856" t="str">
            <v>RKB</v>
          </cell>
          <cell r="F856" t="str">
            <v>RKB  214508</v>
          </cell>
          <cell r="G856" t="str">
            <v>RSV Frellstedt VI</v>
          </cell>
          <cell r="H856" t="str">
            <v>Schröder </v>
          </cell>
          <cell r="I856" t="str">
            <v>Ronja</v>
          </cell>
          <cell r="J856" t="str">
            <v>Schröder    Ronja</v>
          </cell>
          <cell r="K856">
            <v>35772</v>
          </cell>
        </row>
        <row r="857">
          <cell r="D857">
            <v>95004</v>
          </cell>
          <cell r="E857" t="str">
            <v>NDS</v>
          </cell>
          <cell r="F857" t="str">
            <v>NDS  95004</v>
          </cell>
          <cell r="G857" t="str">
            <v>RVW Gieboldehausen</v>
          </cell>
          <cell r="H857" t="str">
            <v>Schröder </v>
          </cell>
          <cell r="I857" t="str">
            <v>Tobias</v>
          </cell>
          <cell r="J857" t="str">
            <v>Schröder    Tobias</v>
          </cell>
          <cell r="K857">
            <v>34288</v>
          </cell>
        </row>
        <row r="858">
          <cell r="D858">
            <v>10060873847</v>
          </cell>
          <cell r="E858" t="str">
            <v>NDS</v>
          </cell>
          <cell r="F858" t="str">
            <v>NDS  10060873847</v>
          </cell>
          <cell r="G858" t="str">
            <v>RV Etelsen II</v>
          </cell>
          <cell r="H858" t="str">
            <v>Schröter</v>
          </cell>
          <cell r="I858" t="str">
            <v>Jürgen</v>
          </cell>
          <cell r="J858" t="str">
            <v>Schröter   Jürgen</v>
          </cell>
          <cell r="K858">
            <v>22986</v>
          </cell>
        </row>
        <row r="859">
          <cell r="D859">
            <v>10050847481</v>
          </cell>
          <cell r="E859" t="str">
            <v>NDS</v>
          </cell>
          <cell r="F859" t="str">
            <v>NDS  10050847481</v>
          </cell>
          <cell r="G859" t="str">
            <v>RV Etelsen II</v>
          </cell>
          <cell r="H859" t="str">
            <v>Schröter</v>
          </cell>
          <cell r="I859" t="str">
            <v>Steffen</v>
          </cell>
          <cell r="J859" t="str">
            <v>Schröter   Steffen</v>
          </cell>
          <cell r="K859">
            <v>32062</v>
          </cell>
        </row>
        <row r="860">
          <cell r="D860">
            <v>10036412871</v>
          </cell>
          <cell r="E860" t="str">
            <v>BRA</v>
          </cell>
          <cell r="F860" t="str">
            <v>BRA  10036412871</v>
          </cell>
          <cell r="G860" t="str">
            <v>RRC Neuruppin</v>
          </cell>
          <cell r="H860" t="str">
            <v>Schüler</v>
          </cell>
          <cell r="I860" t="str">
            <v>Joseph</v>
          </cell>
          <cell r="J860" t="str">
            <v>Schüler   Joseph</v>
          </cell>
          <cell r="K860">
            <v>37140</v>
          </cell>
        </row>
        <row r="861">
          <cell r="D861">
            <v>42307</v>
          </cell>
          <cell r="E861" t="str">
            <v>BRA</v>
          </cell>
          <cell r="F861" t="str">
            <v>BRA  42307</v>
          </cell>
          <cell r="G861" t="str">
            <v>LRV Cottbus II</v>
          </cell>
          <cell r="H861" t="str">
            <v>Schulrath</v>
          </cell>
          <cell r="I861" t="str">
            <v>Simon</v>
          </cell>
          <cell r="J861" t="str">
            <v>Schulrath   Simon</v>
          </cell>
          <cell r="K861">
            <v>35054</v>
          </cell>
        </row>
        <row r="862">
          <cell r="D862">
            <v>10036258681</v>
          </cell>
          <cell r="E862" t="str">
            <v>HES</v>
          </cell>
          <cell r="F862" t="str">
            <v>HES  10036258681</v>
          </cell>
          <cell r="G862" t="str">
            <v>SV Erzhausen</v>
          </cell>
          <cell r="H862" t="str">
            <v>Schulz</v>
          </cell>
          <cell r="I862" t="str">
            <v>Ansgar</v>
          </cell>
          <cell r="J862" t="str">
            <v>Schulz   Ansgar</v>
          </cell>
          <cell r="K862">
            <v>39623</v>
          </cell>
        </row>
        <row r="863">
          <cell r="D863">
            <v>45038</v>
          </cell>
          <cell r="E863" t="str">
            <v>BRA</v>
          </cell>
          <cell r="F863" t="str">
            <v>BRA  45038</v>
          </cell>
          <cell r="G863" t="str">
            <v>Ludwigsfelder RC</v>
          </cell>
          <cell r="H863" t="str">
            <v>Schulz</v>
          </cell>
          <cell r="I863" t="str">
            <v>Louis</v>
          </cell>
          <cell r="J863" t="str">
            <v>Schulz   Louis</v>
          </cell>
          <cell r="K863">
            <v>38095</v>
          </cell>
        </row>
        <row r="864">
          <cell r="D864">
            <v>701448</v>
          </cell>
          <cell r="E864" t="str">
            <v>NDS</v>
          </cell>
          <cell r="F864" t="str">
            <v>NDS  701448</v>
          </cell>
          <cell r="G864" t="str">
            <v>RVW Gieboldehausen I</v>
          </cell>
          <cell r="H864" t="str">
            <v>Schulz</v>
          </cell>
          <cell r="I864" t="str">
            <v>Markus</v>
          </cell>
          <cell r="J864" t="str">
            <v>Schulz   Markus</v>
          </cell>
          <cell r="K864">
            <v>31709</v>
          </cell>
        </row>
        <row r="865">
          <cell r="D865">
            <v>212922</v>
          </cell>
          <cell r="E865" t="str">
            <v>RKB</v>
          </cell>
          <cell r="F865" t="str">
            <v>RKB  212922</v>
          </cell>
          <cell r="G865" t="str">
            <v>RSV Frellstedt II</v>
          </cell>
          <cell r="H865" t="str">
            <v>Schulz</v>
          </cell>
          <cell r="I865" t="str">
            <v>Maximilian</v>
          </cell>
          <cell r="J865" t="str">
            <v>Schulz   Maximilian</v>
          </cell>
          <cell r="K865">
            <v>33956</v>
          </cell>
        </row>
        <row r="866">
          <cell r="D866">
            <v>10086828825</v>
          </cell>
          <cell r="E866" t="str">
            <v>HES</v>
          </cell>
          <cell r="F866" t="str">
            <v>HES  10086828825</v>
          </cell>
          <cell r="G866" t="str">
            <v>SV Erzhausen II</v>
          </cell>
          <cell r="H866" t="str">
            <v>Schulz</v>
          </cell>
          <cell r="I866" t="str">
            <v>Thegan</v>
          </cell>
          <cell r="J866" t="str">
            <v>Schulz   Thegan</v>
          </cell>
          <cell r="K866">
            <v>40325</v>
          </cell>
        </row>
        <row r="867">
          <cell r="D867">
            <v>95559</v>
          </cell>
          <cell r="E867" t="str">
            <v>NDS</v>
          </cell>
          <cell r="F867" t="str">
            <v>NDS  95559</v>
          </cell>
          <cell r="G867" t="str">
            <v>RVA Rollshausen </v>
          </cell>
          <cell r="H867" t="str">
            <v>Schulz</v>
          </cell>
          <cell r="I867" t="str">
            <v>Tom - Alexander</v>
          </cell>
          <cell r="J867" t="str">
            <v>Schulz   Tom - Alexander</v>
          </cell>
          <cell r="K867">
            <v>35582</v>
          </cell>
        </row>
        <row r="868">
          <cell r="D868">
            <v>98355</v>
          </cell>
          <cell r="E868" t="str">
            <v>NDS</v>
          </cell>
          <cell r="F868" t="str">
            <v>NDS  98355</v>
          </cell>
          <cell r="G868" t="str">
            <v>RCG Hahndorf </v>
          </cell>
          <cell r="H868" t="str">
            <v>Schulze</v>
          </cell>
          <cell r="I868" t="str">
            <v>Jan-Ole</v>
          </cell>
          <cell r="J868" t="str">
            <v>Schulze   Jan-Ole</v>
          </cell>
          <cell r="K868">
            <v>35722</v>
          </cell>
        </row>
        <row r="869">
          <cell r="D869">
            <v>10043815486</v>
          </cell>
          <cell r="E869" t="str">
            <v>NDS</v>
          </cell>
          <cell r="F869" t="str">
            <v>NDS  10043815486</v>
          </cell>
          <cell r="G869" t="str">
            <v>RCG Hahndorf I </v>
          </cell>
          <cell r="H869" t="str">
            <v>Schulze</v>
          </cell>
          <cell r="I869" t="str">
            <v>Mattes</v>
          </cell>
          <cell r="J869" t="str">
            <v>Schulze   Mattes</v>
          </cell>
          <cell r="K869">
            <v>37412</v>
          </cell>
        </row>
        <row r="870">
          <cell r="D870">
            <v>51097</v>
          </cell>
          <cell r="E870" t="str">
            <v>BRE</v>
          </cell>
          <cell r="F870" t="str">
            <v>BRE  51097</v>
          </cell>
          <cell r="G870" t="str">
            <v>RV Schorf-Oberneuland II a.K.</v>
          </cell>
          <cell r="H870" t="str">
            <v>Schumann</v>
          </cell>
          <cell r="I870" t="str">
            <v>Ruben</v>
          </cell>
          <cell r="J870" t="str">
            <v>Schumann   Ruben</v>
          </cell>
          <cell r="K870">
            <v>36270</v>
          </cell>
        </row>
        <row r="871">
          <cell r="D871">
            <v>141350</v>
          </cell>
          <cell r="E871" t="str">
            <v>SAH</v>
          </cell>
          <cell r="F871" t="str">
            <v>SAH  141350</v>
          </cell>
          <cell r="G871" t="str">
            <v>Tollwitzer RSV I</v>
          </cell>
          <cell r="H871" t="str">
            <v>Schüßler</v>
          </cell>
          <cell r="I871" t="str">
            <v>Cindy</v>
          </cell>
          <cell r="J871" t="str">
            <v>Schüßler   Cindy</v>
          </cell>
          <cell r="K871">
            <v>33970</v>
          </cell>
        </row>
        <row r="872">
          <cell r="D872">
            <v>142222</v>
          </cell>
          <cell r="E872" t="str">
            <v>SAH</v>
          </cell>
          <cell r="F872" t="str">
            <v>SAH  142222</v>
          </cell>
          <cell r="G872" t="str">
            <v>Reideburger SV III</v>
          </cell>
          <cell r="H872" t="str">
            <v>Schuster</v>
          </cell>
          <cell r="I872" t="str">
            <v>Konstantin</v>
          </cell>
          <cell r="J872" t="str">
            <v>Schuster   Konstantin</v>
          </cell>
          <cell r="K872">
            <v>37829</v>
          </cell>
        </row>
        <row r="873">
          <cell r="D873">
            <v>50102</v>
          </cell>
          <cell r="E873" t="str">
            <v>BRE</v>
          </cell>
          <cell r="F873" t="str">
            <v>BRE  50102</v>
          </cell>
          <cell r="G873" t="str">
            <v>RV Schorf-Oberneuland</v>
          </cell>
          <cell r="H873" t="str">
            <v>Schütte</v>
          </cell>
          <cell r="I873" t="str">
            <v>Henrik</v>
          </cell>
          <cell r="J873" t="str">
            <v>Schütte   Henrik</v>
          </cell>
          <cell r="K873">
            <v>34198</v>
          </cell>
        </row>
        <row r="874">
          <cell r="D874">
            <v>10069103386</v>
          </cell>
          <cell r="E874" t="str">
            <v>NRW</v>
          </cell>
          <cell r="F874" t="str">
            <v>NRW  10069103386</v>
          </cell>
          <cell r="G874" t="str">
            <v>RVW Methler</v>
          </cell>
          <cell r="H874" t="str">
            <v>Schütte</v>
          </cell>
          <cell r="I874" t="str">
            <v>Matti</v>
          </cell>
          <cell r="J874" t="str">
            <v>Schütte   Matti</v>
          </cell>
          <cell r="K874">
            <v>39101</v>
          </cell>
        </row>
        <row r="875">
          <cell r="D875">
            <v>51044</v>
          </cell>
          <cell r="E875" t="str">
            <v>BRE</v>
          </cell>
          <cell r="F875" t="str">
            <v>BRE  51044</v>
          </cell>
          <cell r="G875" t="str">
            <v>RV Schorf-Oberneuland II a.k.</v>
          </cell>
          <cell r="H875" t="str">
            <v>Schütte</v>
          </cell>
          <cell r="I875" t="str">
            <v>Philipp</v>
          </cell>
          <cell r="J875" t="str">
            <v>Schütte   Philipp</v>
          </cell>
          <cell r="K875">
            <v>35386</v>
          </cell>
        </row>
        <row r="876">
          <cell r="D876">
            <v>10043837415</v>
          </cell>
          <cell r="E876" t="str">
            <v>RKB</v>
          </cell>
          <cell r="F876" t="str">
            <v>RKB  10043837415</v>
          </cell>
          <cell r="G876" t="str">
            <v>RSV Frellstedt I</v>
          </cell>
          <cell r="H876" t="str">
            <v>Schütze</v>
          </cell>
          <cell r="I876" t="str">
            <v>Conner</v>
          </cell>
          <cell r="J876" t="str">
            <v>Schütze   Conner</v>
          </cell>
          <cell r="K876">
            <v>37999</v>
          </cell>
        </row>
        <row r="877">
          <cell r="D877">
            <v>10043809830</v>
          </cell>
          <cell r="E877" t="str">
            <v>RKB</v>
          </cell>
          <cell r="F877" t="str">
            <v>RKB  10043809830</v>
          </cell>
          <cell r="G877" t="str">
            <v>RSV Frellstedt I</v>
          </cell>
          <cell r="H877" t="str">
            <v>Schütze</v>
          </cell>
          <cell r="I877" t="str">
            <v>Marlon</v>
          </cell>
          <cell r="J877" t="str">
            <v>Schütze   Marlon</v>
          </cell>
          <cell r="K877">
            <v>37999</v>
          </cell>
        </row>
        <row r="878">
          <cell r="D878">
            <v>98425</v>
          </cell>
          <cell r="E878" t="str">
            <v>NDS</v>
          </cell>
          <cell r="F878" t="str">
            <v>NDS  98425</v>
          </cell>
          <cell r="G878" t="str">
            <v>RV Etelsen IV</v>
          </cell>
          <cell r="H878" t="str">
            <v>Schwartz</v>
          </cell>
          <cell r="I878" t="str">
            <v>Derk</v>
          </cell>
          <cell r="J878" t="str">
            <v>Schwartz   Derk</v>
          </cell>
          <cell r="K878">
            <v>35329</v>
          </cell>
        </row>
        <row r="879">
          <cell r="D879">
            <v>10090010037</v>
          </cell>
          <cell r="E879" t="str">
            <v>NDS</v>
          </cell>
          <cell r="F879" t="str">
            <v>NDS  10090010037</v>
          </cell>
          <cell r="G879" t="str">
            <v>RV Etelsen II</v>
          </cell>
          <cell r="H879" t="str">
            <v>Schwartz</v>
          </cell>
          <cell r="I879" t="str">
            <v>Devin</v>
          </cell>
          <cell r="J879" t="str">
            <v>Schwartz   Devin</v>
          </cell>
          <cell r="K879">
            <v>40546</v>
          </cell>
        </row>
        <row r="880">
          <cell r="D880">
            <v>44652</v>
          </cell>
          <cell r="E880" t="str">
            <v>BRA</v>
          </cell>
          <cell r="F880" t="str">
            <v>BRA  44652</v>
          </cell>
          <cell r="G880" t="str">
            <v>LRV Cottbus</v>
          </cell>
          <cell r="H880" t="str">
            <v>Schwartz</v>
          </cell>
          <cell r="I880" t="str">
            <v>Marius</v>
          </cell>
          <cell r="J880" t="str">
            <v>Schwartz   Marius</v>
          </cell>
          <cell r="K880">
            <v>37160</v>
          </cell>
        </row>
        <row r="881">
          <cell r="D881">
            <v>10043842768</v>
          </cell>
          <cell r="E881" t="str">
            <v>RKB</v>
          </cell>
          <cell r="F881" t="str">
            <v>RKB  10043842768</v>
          </cell>
          <cell r="G881" t="str">
            <v>RSV Bramsche I</v>
          </cell>
          <cell r="H881" t="str">
            <v>Schwarz</v>
          </cell>
          <cell r="I881" t="str">
            <v>Steffen</v>
          </cell>
          <cell r="J881" t="str">
            <v>Schwarz   Steffen</v>
          </cell>
          <cell r="K881">
            <v>32746</v>
          </cell>
        </row>
        <row r="882">
          <cell r="D882">
            <v>90837</v>
          </cell>
          <cell r="E882" t="str">
            <v>NDS</v>
          </cell>
          <cell r="F882" t="str">
            <v>NDS  90837</v>
          </cell>
          <cell r="G882" t="str">
            <v>RV Etelsen II</v>
          </cell>
          <cell r="H882" t="str">
            <v>Schwarz</v>
          </cell>
          <cell r="I882" t="str">
            <v>Tanja</v>
          </cell>
          <cell r="J882" t="str">
            <v>Schwarz   Tanja</v>
          </cell>
          <cell r="K882">
            <v>27769</v>
          </cell>
        </row>
        <row r="883">
          <cell r="D883">
            <v>93113</v>
          </cell>
          <cell r="E883" t="str">
            <v>NDS</v>
          </cell>
          <cell r="F883" t="str">
            <v>NDS  93113</v>
          </cell>
          <cell r="G883" t="str">
            <v>TSV Barrien  I</v>
          </cell>
          <cell r="H883" t="str">
            <v>Schwarze</v>
          </cell>
          <cell r="I883" t="str">
            <v>Tristan</v>
          </cell>
          <cell r="J883" t="str">
            <v>Schwarze   Tristan</v>
          </cell>
          <cell r="K883">
            <v>33956</v>
          </cell>
        </row>
        <row r="884">
          <cell r="D884">
            <v>10046154907</v>
          </cell>
          <cell r="E884" t="str">
            <v>BRE</v>
          </cell>
          <cell r="F884" t="str">
            <v>BRE  10046154907</v>
          </cell>
          <cell r="G884" t="str">
            <v>RVS Oberneuland II</v>
          </cell>
          <cell r="H884" t="str">
            <v>Schwarzkopf</v>
          </cell>
          <cell r="I884" t="str">
            <v>Jens</v>
          </cell>
          <cell r="J884" t="str">
            <v>Schwarzkopf   Jens</v>
          </cell>
          <cell r="K884">
            <v>25913</v>
          </cell>
        </row>
        <row r="885">
          <cell r="D885">
            <v>10090010061</v>
          </cell>
          <cell r="E885" t="str">
            <v>NDS</v>
          </cell>
          <cell r="F885" t="str">
            <v>NDS  10090010061</v>
          </cell>
          <cell r="G885" t="str">
            <v>RVS Obernfeld II</v>
          </cell>
          <cell r="H885" t="str">
            <v>Schwedhelm</v>
          </cell>
          <cell r="I885" t="str">
            <v>Max</v>
          </cell>
          <cell r="J885" t="str">
            <v>Schwedhelm   Max</v>
          </cell>
          <cell r="K885">
            <v>40544</v>
          </cell>
        </row>
        <row r="886">
          <cell r="D886">
            <v>212379</v>
          </cell>
          <cell r="E886" t="str">
            <v>RKB</v>
          </cell>
          <cell r="F886" t="str">
            <v>RKB  212379</v>
          </cell>
          <cell r="G886" t="str">
            <v>RSV Halle V</v>
          </cell>
          <cell r="H886" t="str">
            <v>Schwengel</v>
          </cell>
          <cell r="I886" t="str">
            <v>Carolin</v>
          </cell>
          <cell r="J886" t="str">
            <v>Schwengel   Carolin</v>
          </cell>
          <cell r="K886">
            <v>33654</v>
          </cell>
        </row>
        <row r="887">
          <cell r="D887">
            <v>10053690288</v>
          </cell>
          <cell r="E887" t="str">
            <v>NDS</v>
          </cell>
          <cell r="F887" t="str">
            <v>NDS  10053690288</v>
          </cell>
          <cell r="G887" t="str">
            <v>RV Warfleth I</v>
          </cell>
          <cell r="H887" t="str">
            <v>Schwichtenhövel</v>
          </cell>
          <cell r="I887" t="str">
            <v>Erik - Erwin</v>
          </cell>
          <cell r="J887" t="str">
            <v>Schwichtenhövel   Erik - Erwin</v>
          </cell>
          <cell r="K887">
            <v>39204</v>
          </cell>
        </row>
        <row r="888">
          <cell r="D888">
            <v>10053690389</v>
          </cell>
          <cell r="E888" t="str">
            <v>NDS</v>
          </cell>
          <cell r="F888" t="str">
            <v>NDS  10053690389</v>
          </cell>
          <cell r="G888" t="str">
            <v>RV Warfleth I</v>
          </cell>
          <cell r="H888" t="str">
            <v>Schwichtenhövel</v>
          </cell>
          <cell r="I888" t="str">
            <v>Finn</v>
          </cell>
          <cell r="J888" t="str">
            <v>Schwichtenhövel   Finn</v>
          </cell>
          <cell r="K888">
            <v>38873</v>
          </cell>
        </row>
        <row r="889">
          <cell r="D889">
            <v>93123</v>
          </cell>
          <cell r="E889" t="str">
            <v>NDS</v>
          </cell>
          <cell r="F889" t="str">
            <v>NDS  93123</v>
          </cell>
          <cell r="G889" t="str">
            <v>RVT Aschendorf </v>
          </cell>
          <cell r="H889" t="str">
            <v>Seete</v>
          </cell>
          <cell r="I889" t="str">
            <v>Tobias</v>
          </cell>
          <cell r="J889" t="str">
            <v>Seete   Tobias</v>
          </cell>
          <cell r="K889">
            <v>34408</v>
          </cell>
        </row>
        <row r="890">
          <cell r="D890">
            <v>214300</v>
          </cell>
          <cell r="E890" t="str">
            <v>RKB</v>
          </cell>
          <cell r="F890" t="str">
            <v>RKB  214300</v>
          </cell>
          <cell r="G890" t="str">
            <v>RSV Frellstedt II</v>
          </cell>
          <cell r="H890" t="str">
            <v>Seidel</v>
          </cell>
          <cell r="I890" t="str">
            <v>Maike</v>
          </cell>
          <cell r="J890" t="str">
            <v>Seidel   Maike</v>
          </cell>
          <cell r="K890">
            <v>35379</v>
          </cell>
        </row>
        <row r="891">
          <cell r="D891">
            <v>216441</v>
          </cell>
          <cell r="E891" t="str">
            <v>RKB</v>
          </cell>
          <cell r="F891" t="str">
            <v>RKB  216441</v>
          </cell>
          <cell r="G891" t="str">
            <v>RSV Frellstedt II </v>
          </cell>
          <cell r="H891" t="str">
            <v>Seidler</v>
          </cell>
          <cell r="I891" t="str">
            <v>Nele - Sophie</v>
          </cell>
          <cell r="J891" t="str">
            <v>Seidler   Nele - Sophie</v>
          </cell>
          <cell r="K891">
            <v>37841</v>
          </cell>
        </row>
        <row r="892">
          <cell r="D892">
            <v>10036395895</v>
          </cell>
          <cell r="E892" t="str">
            <v>NDS</v>
          </cell>
          <cell r="F892" t="str">
            <v>NDS  10036395895</v>
          </cell>
          <cell r="G892" t="str">
            <v>RVM Bilshausen I</v>
          </cell>
          <cell r="H892" t="str">
            <v>Seifert</v>
          </cell>
          <cell r="I892" t="str">
            <v>Leif Dean</v>
          </cell>
          <cell r="J892" t="str">
            <v>Seifert   Leif Dean</v>
          </cell>
          <cell r="K892">
            <v>38923</v>
          </cell>
        </row>
        <row r="893">
          <cell r="D893">
            <v>214758</v>
          </cell>
          <cell r="E893" t="str">
            <v>RKB</v>
          </cell>
          <cell r="F893" t="str">
            <v>RKB  214758</v>
          </cell>
          <cell r="G893" t="str">
            <v>RSV Frellstedt III</v>
          </cell>
          <cell r="H893" t="str">
            <v>Sel</v>
          </cell>
          <cell r="I893" t="str">
            <v>Sophie</v>
          </cell>
          <cell r="J893" t="str">
            <v>Sel   Sophie</v>
          </cell>
          <cell r="K893">
            <v>35621</v>
          </cell>
        </row>
        <row r="894">
          <cell r="D894">
            <v>10048552625</v>
          </cell>
          <cell r="E894" t="str">
            <v>NDS</v>
          </cell>
          <cell r="F894" t="str">
            <v>NDS  10048552625</v>
          </cell>
          <cell r="G894" t="str">
            <v>RVGR Oker II</v>
          </cell>
          <cell r="H894" t="str">
            <v>Siebert</v>
          </cell>
          <cell r="I894" t="str">
            <v>Artjom</v>
          </cell>
          <cell r="J894" t="str">
            <v>Siebert   Artjom</v>
          </cell>
          <cell r="K894">
            <v>32835</v>
          </cell>
        </row>
        <row r="895">
          <cell r="D895">
            <v>93137</v>
          </cell>
          <cell r="E895" t="str">
            <v>NDS</v>
          </cell>
          <cell r="F895" t="str">
            <v>NDS  93137</v>
          </cell>
          <cell r="G895" t="str">
            <v>RVGR Oker</v>
          </cell>
          <cell r="H895" t="str">
            <v>Siebert</v>
          </cell>
          <cell r="I895" t="str">
            <v>Simon</v>
          </cell>
          <cell r="J895" t="str">
            <v>Siebert   Simon</v>
          </cell>
          <cell r="K895">
            <v>32310</v>
          </cell>
        </row>
        <row r="896">
          <cell r="D896">
            <v>10036396909</v>
          </cell>
          <cell r="E896" t="str">
            <v>NDS</v>
          </cell>
          <cell r="F896" t="str">
            <v>NDS  10036396909</v>
          </cell>
          <cell r="G896" t="str">
            <v>RVM Bilshausen V</v>
          </cell>
          <cell r="H896" t="str">
            <v>Sieg</v>
          </cell>
          <cell r="I896" t="str">
            <v>André</v>
          </cell>
          <cell r="J896" t="str">
            <v>Sieg   André</v>
          </cell>
          <cell r="K896">
            <v>29945</v>
          </cell>
        </row>
        <row r="897">
          <cell r="D897">
            <v>10135680045</v>
          </cell>
          <cell r="E897" t="str">
            <v>NDS</v>
          </cell>
          <cell r="F897" t="str">
            <v>NDS  10135680045</v>
          </cell>
          <cell r="G897" t="str">
            <v>RVM Bilshausen II</v>
          </cell>
          <cell r="H897" t="str">
            <v>Sieg</v>
          </cell>
          <cell r="I897" t="str">
            <v>Richard</v>
          </cell>
          <cell r="J897" t="str">
            <v>Sieg   Richard</v>
          </cell>
          <cell r="K897">
            <v>41544</v>
          </cell>
        </row>
        <row r="898">
          <cell r="D898">
            <v>10043842061</v>
          </cell>
          <cell r="E898" t="str">
            <v>RKB</v>
          </cell>
          <cell r="F898" t="str">
            <v>RKB  10043842061</v>
          </cell>
          <cell r="G898" t="str">
            <v>RSV Frellstedt I</v>
          </cell>
          <cell r="H898" t="str">
            <v>Sielemann</v>
          </cell>
          <cell r="I898" t="str">
            <v>Theresa</v>
          </cell>
          <cell r="J898" t="str">
            <v>Sielemann   Theresa</v>
          </cell>
          <cell r="K898">
            <v>34709</v>
          </cell>
        </row>
        <row r="899">
          <cell r="D899">
            <v>10111404581</v>
          </cell>
          <cell r="E899" t="str">
            <v>RKB</v>
          </cell>
          <cell r="F899" t="str">
            <v>RKB  10111404581</v>
          </cell>
          <cell r="G899" t="str">
            <v>RSV Frellstedt II</v>
          </cell>
          <cell r="H899" t="str">
            <v>Siemann</v>
          </cell>
          <cell r="I899" t="str">
            <v>Emma</v>
          </cell>
          <cell r="J899" t="str">
            <v>Siemann   Emma</v>
          </cell>
          <cell r="K899">
            <v>41109</v>
          </cell>
        </row>
        <row r="900">
          <cell r="D900">
            <v>10090136525</v>
          </cell>
          <cell r="E900" t="str">
            <v>NDS</v>
          </cell>
          <cell r="F900" t="str">
            <v>NDS  10090136525</v>
          </cell>
          <cell r="G900" t="str">
            <v>RV Warfleth I</v>
          </cell>
          <cell r="H900" t="str">
            <v>Siems</v>
          </cell>
          <cell r="I900" t="str">
            <v>Patrick</v>
          </cell>
          <cell r="J900" t="str">
            <v>Siems   Patrick</v>
          </cell>
          <cell r="K900">
            <v>32602</v>
          </cell>
        </row>
        <row r="901">
          <cell r="D901">
            <v>93598</v>
          </cell>
          <cell r="E901" t="str">
            <v>NDS</v>
          </cell>
          <cell r="F901" t="str">
            <v>NDS  93598</v>
          </cell>
          <cell r="G901" t="str">
            <v>RV Warfleth I</v>
          </cell>
          <cell r="H901" t="str">
            <v>Sillje</v>
          </cell>
          <cell r="I901" t="str">
            <v>Ralf</v>
          </cell>
          <cell r="J901" t="str">
            <v>Sillje   Ralf</v>
          </cell>
          <cell r="K901">
            <v>24413</v>
          </cell>
        </row>
        <row r="902">
          <cell r="D902">
            <v>214302</v>
          </cell>
          <cell r="E902" t="str">
            <v>RKB</v>
          </cell>
          <cell r="F902" t="str">
            <v>RKB  214302</v>
          </cell>
          <cell r="G902" t="str">
            <v>RSV Frellstedt I</v>
          </cell>
          <cell r="H902" t="str">
            <v>Simmons</v>
          </cell>
          <cell r="I902" t="str">
            <v>Eileen</v>
          </cell>
          <cell r="J902" t="str">
            <v>Simmons   Eileen</v>
          </cell>
          <cell r="K902">
            <v>35554</v>
          </cell>
        </row>
        <row r="903">
          <cell r="D903">
            <v>214756</v>
          </cell>
          <cell r="E903" t="str">
            <v>RKB</v>
          </cell>
          <cell r="F903" t="str">
            <v>RKB  214756</v>
          </cell>
          <cell r="G903" t="str">
            <v>RSV Frellstedt II</v>
          </cell>
          <cell r="H903" t="str">
            <v>Simmons</v>
          </cell>
          <cell r="I903" t="str">
            <v>Megan</v>
          </cell>
          <cell r="J903" t="str">
            <v>Simmons   Megan</v>
          </cell>
          <cell r="K903">
            <v>36670</v>
          </cell>
        </row>
        <row r="904">
          <cell r="D904">
            <v>98373</v>
          </cell>
          <cell r="E904" t="str">
            <v>NDS</v>
          </cell>
          <cell r="F904" t="str">
            <v>NDS  98373</v>
          </cell>
          <cell r="G904" t="str">
            <v>RSVL Gifhorn I</v>
          </cell>
          <cell r="H904" t="str">
            <v>Simon</v>
          </cell>
          <cell r="I904" t="str">
            <v>Marcel</v>
          </cell>
          <cell r="J904" t="str">
            <v>Simon   Marcel</v>
          </cell>
          <cell r="K904">
            <v>35663</v>
          </cell>
        </row>
        <row r="905">
          <cell r="D905">
            <v>10036262725</v>
          </cell>
          <cell r="E905" t="str">
            <v>HES</v>
          </cell>
          <cell r="F905" t="str">
            <v>HES  10036262725</v>
          </cell>
          <cell r="G905" t="str">
            <v>RSG Ginsheim II</v>
          </cell>
          <cell r="H905" t="str">
            <v>Singer</v>
          </cell>
          <cell r="I905" t="str">
            <v>Lucas David</v>
          </cell>
          <cell r="J905" t="str">
            <v>Singer   Lucas David</v>
          </cell>
          <cell r="K905">
            <v>39205</v>
          </cell>
        </row>
        <row r="906">
          <cell r="D906">
            <v>10077532787</v>
          </cell>
          <cell r="E906" t="str">
            <v>NDS</v>
          </cell>
          <cell r="F906" t="str">
            <v>NDS  10077532787</v>
          </cell>
          <cell r="G906" t="str">
            <v>RVS Obernfeld II</v>
          </cell>
          <cell r="H906" t="str">
            <v>Slaby</v>
          </cell>
          <cell r="I906" t="str">
            <v>Talia</v>
          </cell>
          <cell r="J906" t="str">
            <v>Slaby   Talia</v>
          </cell>
          <cell r="K906">
            <v>39953</v>
          </cell>
        </row>
        <row r="907">
          <cell r="D907">
            <v>10036554432</v>
          </cell>
          <cell r="E907" t="str">
            <v>NDS</v>
          </cell>
          <cell r="F907" t="str">
            <v>NDS  10036554432</v>
          </cell>
          <cell r="G907" t="str">
            <v>RCT Hannover II</v>
          </cell>
          <cell r="H907" t="str">
            <v>Soller</v>
          </cell>
          <cell r="I907" t="str">
            <v>Matthias</v>
          </cell>
          <cell r="J907" t="str">
            <v>Soller   Matthias</v>
          </cell>
          <cell r="K907">
            <v>22760</v>
          </cell>
        </row>
        <row r="908">
          <cell r="D908">
            <v>93824</v>
          </cell>
          <cell r="E908" t="str">
            <v>NDS</v>
          </cell>
          <cell r="F908" t="str">
            <v>NDS  93824</v>
          </cell>
          <cell r="G908" t="str">
            <v>RVG Harlingerode II</v>
          </cell>
          <cell r="H908" t="str">
            <v>Sollorz</v>
          </cell>
          <cell r="I908" t="str">
            <v>André</v>
          </cell>
          <cell r="J908" t="str">
            <v>Sollorz   André</v>
          </cell>
          <cell r="K908">
            <v>25209</v>
          </cell>
        </row>
        <row r="909">
          <cell r="D909">
            <v>10043820338</v>
          </cell>
          <cell r="E909" t="str">
            <v>NDS</v>
          </cell>
          <cell r="F909" t="str">
            <v>NDS  10043820338</v>
          </cell>
          <cell r="G909" t="str">
            <v>RVT Aschendorf II</v>
          </cell>
          <cell r="H909" t="str">
            <v>Spohn</v>
          </cell>
          <cell r="I909" t="str">
            <v>Nils</v>
          </cell>
          <cell r="J909" t="str">
            <v>Spohn   Nils</v>
          </cell>
          <cell r="K909">
            <v>35410</v>
          </cell>
        </row>
        <row r="910">
          <cell r="D910">
            <v>10043841859</v>
          </cell>
          <cell r="E910" t="str">
            <v>RKB</v>
          </cell>
          <cell r="F910" t="str">
            <v>RKB  10043841859</v>
          </cell>
          <cell r="G910" t="str">
            <v>RSV Frellstedt II</v>
          </cell>
          <cell r="H910" t="str">
            <v>Sputh</v>
          </cell>
          <cell r="I910" t="str">
            <v>Charlotte</v>
          </cell>
          <cell r="J910" t="str">
            <v>Sputh   Charlotte</v>
          </cell>
          <cell r="K910">
            <v>39863</v>
          </cell>
        </row>
        <row r="911">
          <cell r="D911">
            <v>714073</v>
          </cell>
          <cell r="E911" t="str">
            <v>NDS</v>
          </cell>
          <cell r="F911" t="str">
            <v>NDS  714073</v>
          </cell>
          <cell r="G911" t="str">
            <v>RV Warfleth II a.K.</v>
          </cell>
          <cell r="H911" t="str">
            <v>Stamminger</v>
          </cell>
          <cell r="I911" t="str">
            <v>Lasse</v>
          </cell>
          <cell r="J911" t="str">
            <v>Stamminger   Lasse</v>
          </cell>
          <cell r="K911">
            <v>38331</v>
          </cell>
        </row>
        <row r="912">
          <cell r="D912">
            <v>98381</v>
          </cell>
          <cell r="E912" t="str">
            <v>NDS</v>
          </cell>
          <cell r="F912" t="str">
            <v>NDS  98381</v>
          </cell>
          <cell r="G912" t="str">
            <v>RSVL Gifhorn I</v>
          </cell>
          <cell r="H912" t="str">
            <v>Stapel</v>
          </cell>
          <cell r="I912" t="str">
            <v>Paul</v>
          </cell>
          <cell r="J912" t="str">
            <v>Stapel   Paul</v>
          </cell>
          <cell r="K912">
            <v>35804</v>
          </cell>
        </row>
        <row r="913">
          <cell r="D913">
            <v>10090010035</v>
          </cell>
          <cell r="E913" t="str">
            <v>NDS</v>
          </cell>
          <cell r="F913" t="str">
            <v>NDS  10090010035</v>
          </cell>
          <cell r="G913" t="str">
            <v>RV Etelsen I</v>
          </cell>
          <cell r="H913" t="str">
            <v>Steffens</v>
          </cell>
          <cell r="I913" t="str">
            <v>Per-Lasse</v>
          </cell>
          <cell r="J913" t="str">
            <v>Steffens   Per-Lasse</v>
          </cell>
          <cell r="K913">
            <v>40817</v>
          </cell>
        </row>
        <row r="914">
          <cell r="D914">
            <v>10050486056</v>
          </cell>
          <cell r="E914" t="str">
            <v>NDS</v>
          </cell>
          <cell r="F914" t="str">
            <v>NDS  10050486056</v>
          </cell>
          <cell r="G914" t="str">
            <v>SG Etelsen / Barrien</v>
          </cell>
          <cell r="H914" t="str">
            <v>Steffens</v>
          </cell>
          <cell r="I914" t="str">
            <v>Tobias</v>
          </cell>
          <cell r="J914" t="str">
            <v>Steffens   Tobias</v>
          </cell>
          <cell r="K914">
            <v>26748</v>
          </cell>
        </row>
        <row r="915">
          <cell r="D915">
            <v>43084</v>
          </cell>
          <cell r="E915" t="str">
            <v>BRA</v>
          </cell>
          <cell r="F915" t="str">
            <v>BRA  43084</v>
          </cell>
          <cell r="G915" t="str">
            <v>LRV Cottbus I </v>
          </cell>
          <cell r="H915" t="str">
            <v>Stege</v>
          </cell>
          <cell r="I915" t="str">
            <v>Felix</v>
          </cell>
          <cell r="J915" t="str">
            <v>Stege   Felix</v>
          </cell>
          <cell r="K915">
            <v>34509</v>
          </cell>
        </row>
        <row r="916">
          <cell r="D916">
            <v>212908</v>
          </cell>
          <cell r="E916" t="str">
            <v>RKB</v>
          </cell>
          <cell r="F916" t="str">
            <v>RKB  212908</v>
          </cell>
          <cell r="G916" t="str">
            <v>SC Woltringhausen I</v>
          </cell>
          <cell r="H916" t="str">
            <v>Stegemeier</v>
          </cell>
          <cell r="I916" t="str">
            <v>Sandra</v>
          </cell>
          <cell r="J916" t="str">
            <v>Stegemeier   Sandra</v>
          </cell>
          <cell r="K916">
            <v>27091</v>
          </cell>
        </row>
        <row r="917">
          <cell r="D917">
            <v>213191</v>
          </cell>
          <cell r="E917" t="str">
            <v>RKB</v>
          </cell>
          <cell r="F917" t="str">
            <v>RKB  213191</v>
          </cell>
          <cell r="G917" t="str">
            <v>SC Woltringhausen II</v>
          </cell>
          <cell r="H917" t="str">
            <v>Stegemeier</v>
          </cell>
          <cell r="I917" t="str">
            <v>Stefanie</v>
          </cell>
          <cell r="J917" t="str">
            <v>Stegemeier   Stefanie</v>
          </cell>
          <cell r="K917">
            <v>27423</v>
          </cell>
        </row>
        <row r="918">
          <cell r="D918">
            <v>10104319644</v>
          </cell>
          <cell r="E918" t="str">
            <v>RKB</v>
          </cell>
          <cell r="F918" t="str">
            <v>RKB  10104319644</v>
          </cell>
          <cell r="G918" t="str">
            <v>RSV Halle I</v>
          </cell>
          <cell r="H918" t="str">
            <v>Stegmann</v>
          </cell>
          <cell r="I918" t="str">
            <v>Lina</v>
          </cell>
          <cell r="J918" t="str">
            <v>Stegmann   Lina</v>
          </cell>
          <cell r="K918">
            <v>41116</v>
          </cell>
        </row>
        <row r="919">
          <cell r="D919">
            <v>10090010012</v>
          </cell>
          <cell r="E919" t="str">
            <v>RKB</v>
          </cell>
          <cell r="F919" t="str">
            <v>RKB  10090010012</v>
          </cell>
          <cell r="G919" t="str">
            <v>RSV Halle III</v>
          </cell>
          <cell r="H919" t="str">
            <v>Stegmann</v>
          </cell>
          <cell r="I919" t="str">
            <v>Lotta</v>
          </cell>
          <cell r="J919" t="str">
            <v>Stegmann   Lotta</v>
          </cell>
          <cell r="K919">
            <v>40544</v>
          </cell>
        </row>
        <row r="920">
          <cell r="D920">
            <v>10096600159</v>
          </cell>
          <cell r="E920" t="str">
            <v>BRE</v>
          </cell>
          <cell r="F920" t="str">
            <v>BRE  10096600159</v>
          </cell>
          <cell r="G920" t="str">
            <v>RTSW Bremen</v>
          </cell>
          <cell r="H920" t="str">
            <v>Steinbrink</v>
          </cell>
          <cell r="I920" t="str">
            <v>Matthias</v>
          </cell>
          <cell r="J920" t="str">
            <v>Steinbrink   Matthias</v>
          </cell>
          <cell r="K920">
            <v>31622</v>
          </cell>
        </row>
        <row r="921">
          <cell r="D921">
            <v>10096600058</v>
          </cell>
          <cell r="E921" t="str">
            <v>BRE</v>
          </cell>
          <cell r="F921" t="str">
            <v>BRE  10096600058</v>
          </cell>
          <cell r="G921" t="str">
            <v>RTSW Bremen</v>
          </cell>
          <cell r="H921" t="str">
            <v>Steinbrink</v>
          </cell>
          <cell r="I921" t="str">
            <v>Stephan</v>
          </cell>
          <cell r="J921" t="str">
            <v>Steinbrink   Stephan</v>
          </cell>
          <cell r="K921">
            <v>26426</v>
          </cell>
        </row>
        <row r="922">
          <cell r="D922">
            <v>90274</v>
          </cell>
          <cell r="E922" t="str">
            <v>NDS</v>
          </cell>
          <cell r="F922" t="str">
            <v>NDS  90274</v>
          </cell>
          <cell r="G922" t="str">
            <v>RCBG Langenhagen I</v>
          </cell>
          <cell r="H922" t="str">
            <v>Steinig</v>
          </cell>
          <cell r="I922" t="str">
            <v>Svenja</v>
          </cell>
          <cell r="J922" t="str">
            <v>Steinig   Svenja</v>
          </cell>
          <cell r="K922">
            <v>27124</v>
          </cell>
        </row>
        <row r="923">
          <cell r="D923">
            <v>10059457546</v>
          </cell>
          <cell r="E923" t="str">
            <v>RKB</v>
          </cell>
          <cell r="F923" t="str">
            <v>RKB  10059457546</v>
          </cell>
          <cell r="G923" t="str">
            <v>RSV Bramsche III</v>
          </cell>
          <cell r="H923" t="str">
            <v>Steinmeier</v>
          </cell>
          <cell r="I923" t="str">
            <v>Jonathan</v>
          </cell>
          <cell r="J923" t="str">
            <v>Steinmeier   Jonathan</v>
          </cell>
          <cell r="K923">
            <v>33587</v>
          </cell>
        </row>
        <row r="924">
          <cell r="D924">
            <v>211820</v>
          </cell>
          <cell r="E924" t="str">
            <v>RKB</v>
          </cell>
          <cell r="F924" t="str">
            <v>RKB  211820</v>
          </cell>
          <cell r="G924" t="str">
            <v>RSV Bramsche III</v>
          </cell>
          <cell r="H924" t="str">
            <v>Steinmeier</v>
          </cell>
          <cell r="I924" t="str">
            <v>Ulrich</v>
          </cell>
          <cell r="J924" t="str">
            <v>Steinmeier   Ulrich</v>
          </cell>
          <cell r="K924">
            <v>19428</v>
          </cell>
        </row>
        <row r="925">
          <cell r="D925">
            <v>10071996515</v>
          </cell>
          <cell r="E925" t="str">
            <v>NDS</v>
          </cell>
          <cell r="F925" t="str">
            <v>NDS  10071996515</v>
          </cell>
          <cell r="G925" t="str">
            <v>RVW Gieboldehausen I</v>
          </cell>
          <cell r="H925" t="str">
            <v>Stender</v>
          </cell>
          <cell r="I925" t="str">
            <v>Joel</v>
          </cell>
          <cell r="J925" t="str">
            <v>Stender   Joel</v>
          </cell>
          <cell r="K925">
            <v>39198</v>
          </cell>
        </row>
        <row r="926">
          <cell r="D926">
            <v>90777</v>
          </cell>
          <cell r="E926" t="str">
            <v>NDS</v>
          </cell>
          <cell r="F926" t="str">
            <v>NDS  90777</v>
          </cell>
          <cell r="G926" t="str">
            <v>RVW Gieboldehausen II</v>
          </cell>
          <cell r="H926" t="str">
            <v>Stender</v>
          </cell>
          <cell r="I926" t="str">
            <v>Ulrich</v>
          </cell>
          <cell r="J926" t="str">
            <v>Stender   Ulrich</v>
          </cell>
          <cell r="K926">
            <v>26382</v>
          </cell>
        </row>
        <row r="927">
          <cell r="D927">
            <v>10036393774</v>
          </cell>
          <cell r="E927" t="str">
            <v>NDS</v>
          </cell>
          <cell r="F927" t="str">
            <v>NDS  10036393774</v>
          </cell>
          <cell r="G927" t="str">
            <v>RVM Bilshausen III</v>
          </cell>
          <cell r="H927" t="str">
            <v>Stephan</v>
          </cell>
          <cell r="I927" t="str">
            <v>Felix</v>
          </cell>
          <cell r="J927" t="str">
            <v>Stephan   Felix</v>
          </cell>
          <cell r="K927">
            <v>34803</v>
          </cell>
        </row>
        <row r="928">
          <cell r="D928">
            <v>10036399535</v>
          </cell>
          <cell r="E928" t="str">
            <v>NDS</v>
          </cell>
          <cell r="F928" t="str">
            <v>NDS  10036399535</v>
          </cell>
          <cell r="G928" t="str">
            <v>RVM Bilshausen I</v>
          </cell>
          <cell r="H928" t="str">
            <v>Stephan</v>
          </cell>
          <cell r="I928" t="str">
            <v>Lukas</v>
          </cell>
          <cell r="J928" t="str">
            <v>Stephan   Lukas</v>
          </cell>
          <cell r="K928">
            <v>35621</v>
          </cell>
        </row>
        <row r="929">
          <cell r="D929">
            <v>10036399434</v>
          </cell>
          <cell r="E929" t="str">
            <v>NDS</v>
          </cell>
          <cell r="F929" t="str">
            <v>NDS  10036399434</v>
          </cell>
          <cell r="G929" t="str">
            <v>RVM Bilshausen I</v>
          </cell>
          <cell r="H929" t="str">
            <v>Stephan</v>
          </cell>
          <cell r="I929" t="str">
            <v>Simon</v>
          </cell>
          <cell r="J929" t="str">
            <v>Stephan   Simon</v>
          </cell>
          <cell r="K929">
            <v>38945</v>
          </cell>
        </row>
        <row r="930">
          <cell r="D930">
            <v>95793</v>
          </cell>
          <cell r="E930" t="str">
            <v>NDS</v>
          </cell>
          <cell r="F930" t="str">
            <v>NDS  95793</v>
          </cell>
          <cell r="G930" t="str">
            <v>RVG Harlingerode II</v>
          </cell>
          <cell r="H930" t="str">
            <v>Stiegen</v>
          </cell>
          <cell r="I930" t="str">
            <v>Tabea</v>
          </cell>
          <cell r="J930" t="str">
            <v>Stiegen   Tabea</v>
          </cell>
          <cell r="K930">
            <v>35475</v>
          </cell>
        </row>
        <row r="931">
          <cell r="D931">
            <v>10043813365</v>
          </cell>
          <cell r="E931" t="str">
            <v>NDS</v>
          </cell>
          <cell r="F931" t="str">
            <v>NDS  10043813365</v>
          </cell>
          <cell r="G931" t="str">
            <v>RCG Hahndorf II</v>
          </cell>
          <cell r="H931" t="str">
            <v>Stoewenau</v>
          </cell>
          <cell r="I931" t="str">
            <v>Arne</v>
          </cell>
          <cell r="J931" t="str">
            <v>Stoewenau   Arne</v>
          </cell>
          <cell r="K931">
            <v>32273</v>
          </cell>
        </row>
        <row r="932">
          <cell r="D932">
            <v>92836</v>
          </cell>
          <cell r="E932" t="str">
            <v>NDS</v>
          </cell>
          <cell r="F932" t="str">
            <v>NDS  92836</v>
          </cell>
          <cell r="G932" t="str">
            <v>RTC Hildesheim II</v>
          </cell>
          <cell r="H932" t="str">
            <v>Stoffregen</v>
          </cell>
          <cell r="I932" t="str">
            <v>Britta</v>
          </cell>
          <cell r="J932" t="str">
            <v>Stoffregen   Britta</v>
          </cell>
          <cell r="K932">
            <v>32821</v>
          </cell>
        </row>
        <row r="933">
          <cell r="D933">
            <v>214368</v>
          </cell>
          <cell r="E933" t="str">
            <v>RKB</v>
          </cell>
          <cell r="F933" t="str">
            <v>RKB  214368</v>
          </cell>
          <cell r="G933" t="str">
            <v>RKB Wetzlar</v>
          </cell>
          <cell r="H933" t="str">
            <v>Stollberg</v>
          </cell>
          <cell r="I933" t="str">
            <v>Nadine</v>
          </cell>
          <cell r="J933" t="str">
            <v>Stollberg   Nadine</v>
          </cell>
          <cell r="K933">
            <v>34761</v>
          </cell>
        </row>
        <row r="934">
          <cell r="D934">
            <v>210898</v>
          </cell>
          <cell r="E934" t="str">
            <v>RKB</v>
          </cell>
          <cell r="F934" t="str">
            <v>RKB  210898</v>
          </cell>
          <cell r="G934" t="str">
            <v>RSV Halle VI</v>
          </cell>
          <cell r="H934" t="str">
            <v>Strank</v>
          </cell>
          <cell r="I934" t="str">
            <v>Gabi</v>
          </cell>
          <cell r="J934" t="str">
            <v>Strank   Gabi</v>
          </cell>
          <cell r="K934">
            <v>26729</v>
          </cell>
        </row>
        <row r="935">
          <cell r="D935">
            <v>10073064222</v>
          </cell>
          <cell r="E935" t="str">
            <v>HES</v>
          </cell>
          <cell r="F935" t="str">
            <v>HES  10073064222</v>
          </cell>
          <cell r="G935" t="str">
            <v>SG Arheiligen</v>
          </cell>
          <cell r="H935" t="str">
            <v>Striethorst</v>
          </cell>
          <cell r="I935" t="str">
            <v>Erik</v>
          </cell>
          <cell r="J935" t="str">
            <v>Striethorst   Erik</v>
          </cell>
          <cell r="K935">
            <v>39980</v>
          </cell>
        </row>
        <row r="936">
          <cell r="D936">
            <v>10036527150</v>
          </cell>
          <cell r="E936" t="str">
            <v>NDS</v>
          </cell>
          <cell r="F936" t="str">
            <v>NDS  10036527150</v>
          </cell>
          <cell r="G936" t="str">
            <v>RCT Hannover II</v>
          </cell>
          <cell r="H936" t="str">
            <v>Strohschänk</v>
          </cell>
          <cell r="I936" t="str">
            <v>Jörg</v>
          </cell>
          <cell r="J936" t="str">
            <v>Strohschänk   Jörg</v>
          </cell>
          <cell r="K936">
            <v>23063</v>
          </cell>
        </row>
        <row r="937">
          <cell r="D937">
            <v>93117</v>
          </cell>
          <cell r="E937" t="str">
            <v>NDS</v>
          </cell>
          <cell r="F937" t="str">
            <v>NDS  93117</v>
          </cell>
          <cell r="G937" t="str">
            <v>RSVL Gifhorn</v>
          </cell>
          <cell r="H937" t="str">
            <v>Strom</v>
          </cell>
          <cell r="I937" t="str">
            <v>Waldemar</v>
          </cell>
          <cell r="J937" t="str">
            <v>Strom   Waldemar</v>
          </cell>
          <cell r="K937">
            <v>33478</v>
          </cell>
        </row>
        <row r="938">
          <cell r="D938">
            <v>95285</v>
          </cell>
          <cell r="E938" t="str">
            <v>NDS</v>
          </cell>
          <cell r="F938" t="str">
            <v>NDS  95285</v>
          </cell>
          <cell r="G938" t="str">
            <v>RVM Bilshausen II</v>
          </cell>
          <cell r="H938" t="str">
            <v>Strüber</v>
          </cell>
          <cell r="I938" t="str">
            <v>Bojan</v>
          </cell>
          <cell r="J938" t="str">
            <v>Strüber   Bojan</v>
          </cell>
          <cell r="K938">
            <v>37373</v>
          </cell>
        </row>
        <row r="939">
          <cell r="D939">
            <v>10036395188</v>
          </cell>
          <cell r="E939" t="str">
            <v>NDS</v>
          </cell>
          <cell r="F939" t="str">
            <v>NDS  10036395188</v>
          </cell>
          <cell r="G939" t="str">
            <v>RVM Bilshausen I</v>
          </cell>
          <cell r="H939" t="str">
            <v>Strüber</v>
          </cell>
          <cell r="I939" t="str">
            <v>Henrik</v>
          </cell>
          <cell r="J939" t="str">
            <v>Strüber   Henrik</v>
          </cell>
          <cell r="K939">
            <v>38568</v>
          </cell>
        </row>
        <row r="940">
          <cell r="D940">
            <v>10135659534</v>
          </cell>
          <cell r="E940" t="str">
            <v>NDS</v>
          </cell>
          <cell r="F940" t="str">
            <v>NDS  10135659534</v>
          </cell>
          <cell r="G940" t="str">
            <v>RVM Bilshausen II</v>
          </cell>
          <cell r="H940" t="str">
            <v>Strüber</v>
          </cell>
          <cell r="I940" t="str">
            <v>Jarik</v>
          </cell>
          <cell r="J940" t="str">
            <v>Strüber   Jarik</v>
          </cell>
          <cell r="K940">
            <v>41200</v>
          </cell>
        </row>
        <row r="941">
          <cell r="D941">
            <v>92268</v>
          </cell>
          <cell r="E941" t="str">
            <v>NDS</v>
          </cell>
          <cell r="F941" t="str">
            <v>NDS  92268</v>
          </cell>
          <cell r="G941" t="str">
            <v>RVM Bilshausen III</v>
          </cell>
          <cell r="H941" t="str">
            <v>Strüber</v>
          </cell>
          <cell r="I941" t="str">
            <v>Timo</v>
          </cell>
          <cell r="J941" t="str">
            <v>Strüber   Timo</v>
          </cell>
          <cell r="K941">
            <v>33317</v>
          </cell>
        </row>
        <row r="942">
          <cell r="D942">
            <v>10036204727</v>
          </cell>
          <cell r="E942" t="str">
            <v>NRW</v>
          </cell>
          <cell r="F942" t="str">
            <v>NRW  10036204727</v>
          </cell>
          <cell r="G942" t="str">
            <v>RSC Niedermehnen</v>
          </cell>
          <cell r="H942" t="str">
            <v>Struckmann</v>
          </cell>
          <cell r="I942" t="str">
            <v>Maren</v>
          </cell>
          <cell r="J942" t="str">
            <v>Struckmann   Maren</v>
          </cell>
          <cell r="K942">
            <v>31703</v>
          </cell>
        </row>
        <row r="943">
          <cell r="D943">
            <v>90263</v>
          </cell>
          <cell r="E943" t="str">
            <v>NDS</v>
          </cell>
          <cell r="F943" t="str">
            <v>NDS  90263</v>
          </cell>
          <cell r="G943" t="str">
            <v>RCBG Langenhagen II</v>
          </cell>
          <cell r="H943" t="str">
            <v>Stuckmann</v>
          </cell>
          <cell r="I943" t="str">
            <v>Maike</v>
          </cell>
          <cell r="J943" t="str">
            <v>Stuckmann   Maike</v>
          </cell>
          <cell r="K943">
            <v>27206</v>
          </cell>
        </row>
        <row r="944">
          <cell r="D944">
            <v>10036200380</v>
          </cell>
          <cell r="E944" t="str">
            <v>NRW</v>
          </cell>
          <cell r="F944" t="str">
            <v>NRW  10036200380</v>
          </cell>
          <cell r="G944" t="str">
            <v>RSV Leeden II</v>
          </cell>
          <cell r="H944" t="str">
            <v>Stühmeier</v>
          </cell>
          <cell r="I944" t="str">
            <v>Malik</v>
          </cell>
          <cell r="J944" t="str">
            <v>Stühmeier   Malik</v>
          </cell>
          <cell r="K944">
            <v>39035</v>
          </cell>
        </row>
        <row r="945">
          <cell r="D945">
            <v>95232</v>
          </cell>
          <cell r="E945" t="str">
            <v>NDS</v>
          </cell>
          <cell r="F945" t="str">
            <v>NDS  95232</v>
          </cell>
          <cell r="G945" t="str">
            <v>RTC Hildesheim II</v>
          </cell>
          <cell r="H945" t="str">
            <v>Sudholt</v>
          </cell>
          <cell r="I945" t="str">
            <v>Nils</v>
          </cell>
          <cell r="J945" t="str">
            <v>Sudholt   Nils</v>
          </cell>
          <cell r="K945">
            <v>36752</v>
          </cell>
        </row>
        <row r="946">
          <cell r="D946">
            <v>602254</v>
          </cell>
          <cell r="E946" t="str">
            <v>NRW</v>
          </cell>
          <cell r="F946" t="str">
            <v>NRW  602254</v>
          </cell>
          <cell r="G946" t="str">
            <v>RSC Schiefbahn</v>
          </cell>
          <cell r="H946" t="str">
            <v>Suttrop</v>
          </cell>
          <cell r="I946" t="str">
            <v>Mark</v>
          </cell>
          <cell r="J946" t="str">
            <v>Suttrop   Mark</v>
          </cell>
          <cell r="K946">
            <v>35024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98003</v>
          </cell>
          <cell r="E948" t="str">
            <v>NDS</v>
          </cell>
          <cell r="F948" t="str">
            <v>NDS  98003</v>
          </cell>
          <cell r="G948" t="str">
            <v>RSVL Gifhorn II</v>
          </cell>
          <cell r="H948" t="str">
            <v>Szidat</v>
          </cell>
          <cell r="I948" t="str">
            <v>Göran</v>
          </cell>
          <cell r="J948" t="str">
            <v>Szidat   Göran</v>
          </cell>
          <cell r="K948">
            <v>35176</v>
          </cell>
        </row>
        <row r="949">
          <cell r="D949">
            <v>93599</v>
          </cell>
          <cell r="E949" t="str">
            <v>NDS</v>
          </cell>
          <cell r="F949" t="str">
            <v>NDS  93599</v>
          </cell>
          <cell r="G949" t="str">
            <v>RV Warfleth I</v>
          </cell>
          <cell r="H949" t="str">
            <v>Taborsky</v>
          </cell>
          <cell r="I949" t="str">
            <v>Frank</v>
          </cell>
          <cell r="J949" t="str">
            <v>Taborsky   Frank</v>
          </cell>
          <cell r="K949">
            <v>26404</v>
          </cell>
        </row>
        <row r="950">
          <cell r="D950">
            <v>95104</v>
          </cell>
          <cell r="E950" t="str">
            <v>NDS</v>
          </cell>
          <cell r="F950" t="str">
            <v>NDS  95104</v>
          </cell>
          <cell r="G950" t="str">
            <v>RV Warfleth I</v>
          </cell>
          <cell r="H950" t="str">
            <v>Taborsky</v>
          </cell>
          <cell r="I950" t="str">
            <v>Joscha</v>
          </cell>
          <cell r="J950" t="str">
            <v>Taborsky   Joscha</v>
          </cell>
          <cell r="K950">
            <v>35681</v>
          </cell>
        </row>
        <row r="951">
          <cell r="D951">
            <v>95106</v>
          </cell>
          <cell r="E951" t="str">
            <v>NDS</v>
          </cell>
          <cell r="F951" t="str">
            <v>NDS  95106</v>
          </cell>
          <cell r="G951" t="str">
            <v>RV Warfleth II  a.K.</v>
          </cell>
          <cell r="H951" t="str">
            <v>Tamminga</v>
          </cell>
          <cell r="I951" t="str">
            <v>Benedict</v>
          </cell>
          <cell r="J951" t="str">
            <v>Tamminga   Benedict</v>
          </cell>
          <cell r="K951">
            <v>33988</v>
          </cell>
        </row>
        <row r="952">
          <cell r="D952">
            <v>90721</v>
          </cell>
          <cell r="E952" t="str">
            <v>NDS</v>
          </cell>
          <cell r="F952" t="str">
            <v>NDS  90721</v>
          </cell>
          <cell r="G952" t="str">
            <v>RTC Hildesheim II</v>
          </cell>
          <cell r="H952" t="str">
            <v>Tamoszus</v>
          </cell>
          <cell r="I952" t="str">
            <v>Bert</v>
          </cell>
          <cell r="J952" t="str">
            <v>Tamoszus   Bert</v>
          </cell>
          <cell r="K952">
            <v>24572</v>
          </cell>
        </row>
        <row r="953">
          <cell r="D953">
            <v>141351</v>
          </cell>
          <cell r="E953" t="str">
            <v>SAH</v>
          </cell>
          <cell r="F953" t="str">
            <v>SAH  141351</v>
          </cell>
          <cell r="G953" t="str">
            <v>Tollwitzer RSV I</v>
          </cell>
          <cell r="H953" t="str">
            <v>Tänzer</v>
          </cell>
          <cell r="I953" t="str">
            <v>Isabell</v>
          </cell>
          <cell r="J953" t="str">
            <v>Tänzer   Isabell</v>
          </cell>
          <cell r="K953">
            <v>32671</v>
          </cell>
        </row>
        <row r="954">
          <cell r="D954">
            <v>214760</v>
          </cell>
          <cell r="E954" t="str">
            <v>RKB</v>
          </cell>
          <cell r="F954" t="str">
            <v>RKB  214760</v>
          </cell>
          <cell r="G954" t="str">
            <v>RSV Frellstedt IV</v>
          </cell>
          <cell r="H954" t="str">
            <v>Taube</v>
          </cell>
          <cell r="I954" t="str">
            <v>Annika</v>
          </cell>
          <cell r="J954" t="str">
            <v>Taube   Annika</v>
          </cell>
          <cell r="K954">
            <v>36527</v>
          </cell>
        </row>
        <row r="955">
          <cell r="D955">
            <v>10049990548</v>
          </cell>
          <cell r="E955" t="str">
            <v>SAH</v>
          </cell>
          <cell r="F955" t="str">
            <v>SAH  10049990548</v>
          </cell>
          <cell r="G955" t="str">
            <v>RC Lostau I</v>
          </cell>
          <cell r="H955" t="str">
            <v>Taubmann</v>
          </cell>
          <cell r="I955" t="str">
            <v>Feophania</v>
          </cell>
          <cell r="J955" t="str">
            <v>Taubmann   Feophania</v>
          </cell>
          <cell r="K955">
            <v>38995</v>
          </cell>
        </row>
        <row r="956">
          <cell r="D956">
            <v>90759</v>
          </cell>
          <cell r="E956" t="str">
            <v>NDS</v>
          </cell>
          <cell r="F956" t="str">
            <v>NDS  90759</v>
          </cell>
          <cell r="G956" t="str">
            <v>RVT Aschendorf IV</v>
          </cell>
          <cell r="H956" t="str">
            <v>Tepper</v>
          </cell>
          <cell r="I956" t="str">
            <v>Michael</v>
          </cell>
          <cell r="J956" t="str">
            <v>Tepper   Michael</v>
          </cell>
          <cell r="K956">
            <v>29136</v>
          </cell>
        </row>
        <row r="957">
          <cell r="D957">
            <v>213919</v>
          </cell>
          <cell r="E957" t="str">
            <v>RKB</v>
          </cell>
          <cell r="F957" t="str">
            <v>RKB  213919</v>
          </cell>
          <cell r="G957" t="str">
            <v>RSV Bramsche V</v>
          </cell>
          <cell r="H957" t="str">
            <v>Ter Maten</v>
          </cell>
          <cell r="I957" t="str">
            <v>Pascal</v>
          </cell>
          <cell r="J957" t="str">
            <v>Ter Maten   Pascal</v>
          </cell>
          <cell r="K957">
            <v>33834</v>
          </cell>
        </row>
        <row r="958">
          <cell r="D958">
            <v>92019</v>
          </cell>
          <cell r="E958" t="str">
            <v>NDS</v>
          </cell>
          <cell r="F958" t="str">
            <v>NDS  92019</v>
          </cell>
          <cell r="G958" t="str">
            <v>RVS Obernfeld J</v>
          </cell>
          <cell r="H958" t="str">
            <v>Teuteberg</v>
          </cell>
          <cell r="I958" t="str">
            <v>Daniel</v>
          </cell>
          <cell r="J958" t="str">
            <v>Teuteberg   Daniel</v>
          </cell>
          <cell r="K958">
            <v>32264</v>
          </cell>
        </row>
        <row r="959">
          <cell r="D959">
            <v>51503</v>
          </cell>
          <cell r="E959" t="str">
            <v>BRE</v>
          </cell>
          <cell r="F959" t="str">
            <v>BRE  51503</v>
          </cell>
          <cell r="G959" t="str">
            <v>RV Schorf-Oberneuland III a.K.</v>
          </cell>
          <cell r="H959" t="str">
            <v>Thäte</v>
          </cell>
          <cell r="I959" t="str">
            <v>Marvin</v>
          </cell>
          <cell r="J959" t="str">
            <v>Thäte   Marvin</v>
          </cell>
          <cell r="K959">
            <v>35265</v>
          </cell>
        </row>
        <row r="960">
          <cell r="D960">
            <v>95103</v>
          </cell>
          <cell r="E960" t="str">
            <v>NDS</v>
          </cell>
          <cell r="F960" t="str">
            <v>NDS  95103</v>
          </cell>
          <cell r="G960" t="str">
            <v>RV Warfleth I</v>
          </cell>
          <cell r="H960" t="str">
            <v>Theel</v>
          </cell>
          <cell r="I960" t="str">
            <v>Gerd</v>
          </cell>
          <cell r="J960" t="str">
            <v>Theel   Gerd</v>
          </cell>
          <cell r="K960">
            <v>35333</v>
          </cell>
        </row>
        <row r="961">
          <cell r="D961">
            <v>43948</v>
          </cell>
          <cell r="E961" t="str">
            <v>BRA</v>
          </cell>
          <cell r="F961" t="str">
            <v>BRA  43948</v>
          </cell>
          <cell r="G961" t="str">
            <v>Ludwigsfelder RC</v>
          </cell>
          <cell r="H961" t="str">
            <v>Thielicke</v>
          </cell>
          <cell r="I961" t="str">
            <v>Lucas </v>
          </cell>
          <cell r="J961" t="str">
            <v>Thielicke   Lucas </v>
          </cell>
          <cell r="K961">
            <v>35605</v>
          </cell>
        </row>
        <row r="962">
          <cell r="D962">
            <v>73922</v>
          </cell>
          <cell r="E962" t="str">
            <v>HES</v>
          </cell>
          <cell r="F962" t="str">
            <v>HES  73922</v>
          </cell>
          <cell r="G962" t="str">
            <v>SKV Mörfelden</v>
          </cell>
          <cell r="H962" t="str">
            <v>Thierolf</v>
          </cell>
          <cell r="I962" t="str">
            <v>Kyra</v>
          </cell>
          <cell r="J962" t="str">
            <v>Thierolf   Kyra</v>
          </cell>
          <cell r="K962">
            <v>33886</v>
          </cell>
        </row>
        <row r="963">
          <cell r="D963">
            <v>90903</v>
          </cell>
          <cell r="E963" t="str">
            <v>NDS</v>
          </cell>
          <cell r="F963" t="str">
            <v>NDS  90903</v>
          </cell>
          <cell r="G963" t="str">
            <v>RVM Göttingen III</v>
          </cell>
          <cell r="H963" t="str">
            <v>Thöle</v>
          </cell>
          <cell r="I963" t="str">
            <v>Heiko</v>
          </cell>
          <cell r="J963" t="str">
            <v>Thöle   Heiko</v>
          </cell>
          <cell r="K963">
            <v>22018</v>
          </cell>
        </row>
        <row r="964">
          <cell r="D964">
            <v>90904</v>
          </cell>
          <cell r="E964" t="str">
            <v>NDS</v>
          </cell>
          <cell r="F964" t="str">
            <v>NDS  90904</v>
          </cell>
          <cell r="G964" t="str">
            <v>RVM Göttingen IV</v>
          </cell>
          <cell r="H964" t="str">
            <v>Thöle</v>
          </cell>
          <cell r="I964" t="str">
            <v>Jörg</v>
          </cell>
          <cell r="J964" t="str">
            <v>Thöle   Jörg</v>
          </cell>
          <cell r="K964">
            <v>22534</v>
          </cell>
        </row>
        <row r="965">
          <cell r="D965">
            <v>90905</v>
          </cell>
          <cell r="E965" t="str">
            <v>NDS</v>
          </cell>
          <cell r="F965" t="str">
            <v>NDS  90905</v>
          </cell>
          <cell r="G965" t="str">
            <v>RVM Göttingen III</v>
          </cell>
          <cell r="H965" t="str">
            <v>Thöle</v>
          </cell>
          <cell r="I965" t="str">
            <v>Uwe</v>
          </cell>
          <cell r="J965" t="str">
            <v>Thöle   Uwe</v>
          </cell>
          <cell r="K965">
            <v>24649</v>
          </cell>
        </row>
        <row r="966">
          <cell r="D966">
            <v>600383</v>
          </cell>
          <cell r="E966" t="str">
            <v>NRW</v>
          </cell>
          <cell r="F966" t="str">
            <v>NRW  600383</v>
          </cell>
          <cell r="G966" t="str">
            <v>RV Methler I</v>
          </cell>
          <cell r="H966" t="str">
            <v>Thomas</v>
          </cell>
          <cell r="I966" t="str">
            <v>Samanta</v>
          </cell>
          <cell r="J966" t="str">
            <v>Thomas   Samanta</v>
          </cell>
          <cell r="K966">
            <v>34160</v>
          </cell>
        </row>
        <row r="967">
          <cell r="D967">
            <v>90722</v>
          </cell>
          <cell r="E967" t="str">
            <v>NDS</v>
          </cell>
          <cell r="F967" t="str">
            <v>NDS  90722</v>
          </cell>
          <cell r="G967" t="str">
            <v>RTC Hildesheim II</v>
          </cell>
          <cell r="H967" t="str">
            <v>Thoms</v>
          </cell>
          <cell r="I967" t="str">
            <v>Dieter</v>
          </cell>
          <cell r="J967" t="str">
            <v>Thoms   Dieter</v>
          </cell>
          <cell r="K967">
            <v>23694</v>
          </cell>
        </row>
        <row r="968">
          <cell r="D968">
            <v>212923</v>
          </cell>
          <cell r="E968" t="str">
            <v>RKB</v>
          </cell>
          <cell r="F968" t="str">
            <v>RKB  212923</v>
          </cell>
          <cell r="G968" t="str">
            <v>RSV Frellstedt I</v>
          </cell>
          <cell r="H968" t="str">
            <v>Thranitz</v>
          </cell>
          <cell r="I968" t="str">
            <v>Jannis</v>
          </cell>
          <cell r="J968" t="str">
            <v>Thranitz   Jannis</v>
          </cell>
          <cell r="K968">
            <v>33524</v>
          </cell>
        </row>
        <row r="969">
          <cell r="D969">
            <v>10043835492</v>
          </cell>
          <cell r="E969" t="str">
            <v>BRE</v>
          </cell>
          <cell r="F969" t="str">
            <v>BRE  10043835492</v>
          </cell>
          <cell r="G969" t="str">
            <v>RVS Oberneuland I</v>
          </cell>
          <cell r="H969" t="str">
            <v>Thranitz</v>
          </cell>
          <cell r="I969" t="str">
            <v>Jörn</v>
          </cell>
          <cell r="J969" t="str">
            <v>Thranitz   Jörn</v>
          </cell>
          <cell r="K969">
            <v>35737</v>
          </cell>
        </row>
        <row r="970">
          <cell r="D970">
            <v>213186</v>
          </cell>
          <cell r="E970" t="str">
            <v>RKB</v>
          </cell>
          <cell r="F970" t="str">
            <v>RKB  213186</v>
          </cell>
          <cell r="G970" t="str">
            <v>RSV Frellstedt II</v>
          </cell>
          <cell r="H970" t="str">
            <v>Thranitz</v>
          </cell>
          <cell r="I970" t="str">
            <v>Julia</v>
          </cell>
          <cell r="J970" t="str">
            <v>Thranitz   Julia</v>
          </cell>
          <cell r="K970">
            <v>34610</v>
          </cell>
        </row>
        <row r="971">
          <cell r="D971">
            <v>93633</v>
          </cell>
          <cell r="E971" t="str">
            <v>NDS</v>
          </cell>
          <cell r="F971" t="str">
            <v>NDS  93633</v>
          </cell>
          <cell r="G971" t="str">
            <v>RVT Aschendorf I</v>
          </cell>
          <cell r="H971" t="str">
            <v>Thrun</v>
          </cell>
          <cell r="I971" t="str">
            <v>Davide</v>
          </cell>
          <cell r="J971" t="str">
            <v>Thrun   Davide</v>
          </cell>
          <cell r="K971">
            <v>34800</v>
          </cell>
        </row>
        <row r="972">
          <cell r="D972">
            <v>600135</v>
          </cell>
          <cell r="E972" t="str">
            <v>NRW</v>
          </cell>
          <cell r="F972" t="str">
            <v>NRW  600135</v>
          </cell>
          <cell r="G972" t="str">
            <v>RSV Schwalbe Oelde I</v>
          </cell>
          <cell r="H972" t="str">
            <v>Tillmann</v>
          </cell>
          <cell r="I972" t="str">
            <v>Timo</v>
          </cell>
          <cell r="J972" t="str">
            <v>Tillmann   Timo</v>
          </cell>
          <cell r="K972">
            <v>33877</v>
          </cell>
        </row>
        <row r="973">
          <cell r="D973">
            <v>93139</v>
          </cell>
          <cell r="E973" t="str">
            <v>NDS</v>
          </cell>
          <cell r="F973" t="str">
            <v>NDS  93139</v>
          </cell>
          <cell r="G973" t="str">
            <v>RVGR Oker II</v>
          </cell>
          <cell r="H973" t="str">
            <v>Timmlau</v>
          </cell>
          <cell r="I973" t="str">
            <v>Julian</v>
          </cell>
          <cell r="J973" t="str">
            <v>Timmlau   Julian</v>
          </cell>
          <cell r="K973">
            <v>32387</v>
          </cell>
        </row>
        <row r="974">
          <cell r="D974">
            <v>10054100621</v>
          </cell>
          <cell r="E974" t="str">
            <v>BRE</v>
          </cell>
          <cell r="F974" t="str">
            <v>BRE  10054100621</v>
          </cell>
          <cell r="G974" t="str">
            <v>RVS Oberneuland</v>
          </cell>
          <cell r="H974" t="str">
            <v>Treiber</v>
          </cell>
          <cell r="I974" t="str">
            <v>Uwe</v>
          </cell>
          <cell r="J974" t="str">
            <v>Treiber   Uwe</v>
          </cell>
          <cell r="K974">
            <v>26669</v>
          </cell>
        </row>
        <row r="975">
          <cell r="D975">
            <v>90738</v>
          </cell>
          <cell r="E975" t="str">
            <v>NDS</v>
          </cell>
          <cell r="F975" t="str">
            <v>NDS  90738</v>
          </cell>
          <cell r="G975" t="str">
            <v>RVGR Oker III</v>
          </cell>
          <cell r="H975" t="str">
            <v>Trenkner</v>
          </cell>
          <cell r="I975" t="str">
            <v>Albert</v>
          </cell>
          <cell r="J975" t="str">
            <v>Trenkner   Albert</v>
          </cell>
          <cell r="K975">
            <v>18597</v>
          </cell>
        </row>
        <row r="976">
          <cell r="D976">
            <v>211228</v>
          </cell>
          <cell r="E976" t="str">
            <v>RKB</v>
          </cell>
          <cell r="F976" t="str">
            <v>RKB  211228</v>
          </cell>
          <cell r="G976" t="str">
            <v>RRC Neuruppin</v>
          </cell>
          <cell r="H976" t="str">
            <v>Trester</v>
          </cell>
          <cell r="I976" t="str">
            <v>Benjamin</v>
          </cell>
          <cell r="J976" t="str">
            <v>Trester   Benjamin</v>
          </cell>
          <cell r="K976">
            <v>30874</v>
          </cell>
        </row>
        <row r="977">
          <cell r="D977">
            <v>10046191885</v>
          </cell>
          <cell r="E977" t="str">
            <v>NDS</v>
          </cell>
          <cell r="F977" t="str">
            <v>NDS  10046191885</v>
          </cell>
          <cell r="G977" t="str">
            <v>RVS Obernfeld I </v>
          </cell>
          <cell r="H977" t="str">
            <v>Truch</v>
          </cell>
          <cell r="I977" t="str">
            <v>Erich</v>
          </cell>
          <cell r="J977" t="str">
            <v>Truch   Erich</v>
          </cell>
          <cell r="K977">
            <v>37925</v>
          </cell>
        </row>
        <row r="978">
          <cell r="D978">
            <v>10090010040</v>
          </cell>
          <cell r="E978" t="str">
            <v>NDS</v>
          </cell>
          <cell r="F978" t="str">
            <v>NDS  10090010040</v>
          </cell>
          <cell r="G978" t="str">
            <v>RVS Obernfeld II</v>
          </cell>
          <cell r="H978" t="str">
            <v>Ude</v>
          </cell>
          <cell r="I978" t="str">
            <v>Alisia</v>
          </cell>
          <cell r="J978" t="str">
            <v>Ude   Alisia</v>
          </cell>
          <cell r="K978">
            <v>40348</v>
          </cell>
        </row>
        <row r="979">
          <cell r="D979">
            <v>95276</v>
          </cell>
          <cell r="E979" t="str">
            <v>NDS</v>
          </cell>
          <cell r="F979" t="str">
            <v>NDS  95276</v>
          </cell>
          <cell r="G979" t="str">
            <v>RVA Rollshausen II</v>
          </cell>
          <cell r="H979" t="str">
            <v>Ude</v>
          </cell>
          <cell r="I979" t="str">
            <v>Dominic</v>
          </cell>
          <cell r="J979" t="str">
            <v>Ude   Dominic</v>
          </cell>
          <cell r="K979">
            <v>36137</v>
          </cell>
        </row>
        <row r="980">
          <cell r="D980">
            <v>98066</v>
          </cell>
          <cell r="E980" t="str">
            <v>NDS</v>
          </cell>
          <cell r="F980" t="str">
            <v>NDS  98066</v>
          </cell>
          <cell r="G980" t="str">
            <v>RVA Rollshausen II a.K.</v>
          </cell>
          <cell r="H980" t="str">
            <v>Ude</v>
          </cell>
          <cell r="I980" t="str">
            <v>Sebastian</v>
          </cell>
          <cell r="J980" t="str">
            <v>Ude   Sebastian</v>
          </cell>
          <cell r="K980">
            <v>36879</v>
          </cell>
        </row>
        <row r="981">
          <cell r="D981">
            <v>10137392703</v>
          </cell>
          <cell r="E981" t="str">
            <v>BRE</v>
          </cell>
          <cell r="F981" t="str">
            <v>BRE  10137392703</v>
          </cell>
          <cell r="G981" t="str">
            <v>Oberneuland I</v>
          </cell>
          <cell r="H981" t="str">
            <v>Ueberrück</v>
          </cell>
          <cell r="I981" t="str">
            <v>Marlene</v>
          </cell>
          <cell r="J981" t="str">
            <v>Ueberrück   Marlene</v>
          </cell>
          <cell r="K981">
            <v>39134</v>
          </cell>
        </row>
        <row r="982">
          <cell r="D982">
            <v>10090010022</v>
          </cell>
          <cell r="E982" t="str">
            <v>NRW</v>
          </cell>
          <cell r="F982" t="str">
            <v>NRW  10090010022</v>
          </cell>
          <cell r="G982" t="str">
            <v>RSC Niedermehnen II</v>
          </cell>
          <cell r="H982" t="str">
            <v>Uetrecht</v>
          </cell>
          <cell r="I982" t="str">
            <v>Carina</v>
          </cell>
          <cell r="J982" t="str">
            <v>Uetrecht   Carina</v>
          </cell>
          <cell r="K982">
            <v>39414</v>
          </cell>
        </row>
        <row r="983">
          <cell r="D983">
            <v>10036397313</v>
          </cell>
          <cell r="E983" t="str">
            <v>NDS</v>
          </cell>
          <cell r="F983" t="str">
            <v>NDS  10036397313</v>
          </cell>
          <cell r="G983" t="str">
            <v>RVM Bilshausen VI </v>
          </cell>
          <cell r="H983" t="str">
            <v>Uhde</v>
          </cell>
          <cell r="I983" t="str">
            <v>Lennard</v>
          </cell>
          <cell r="J983" t="str">
            <v>Uhde   Lennard</v>
          </cell>
          <cell r="K983">
            <v>37182</v>
          </cell>
        </row>
        <row r="984">
          <cell r="D984">
            <v>10133430958</v>
          </cell>
          <cell r="E984" t="str">
            <v>NDS</v>
          </cell>
          <cell r="F984" t="str">
            <v>NDS  10133430958</v>
          </cell>
          <cell r="G984" t="str">
            <v>RSVL Gifhorn II</v>
          </cell>
          <cell r="H984" t="str">
            <v>Unger</v>
          </cell>
          <cell r="I984" t="str">
            <v>Colin</v>
          </cell>
          <cell r="J984" t="str">
            <v>Unger   Colin</v>
          </cell>
          <cell r="K984">
            <v>39733</v>
          </cell>
        </row>
        <row r="985">
          <cell r="D985">
            <v>10133430554</v>
          </cell>
          <cell r="E985" t="str">
            <v>NDS</v>
          </cell>
          <cell r="F985" t="str">
            <v>NDS  10133430554</v>
          </cell>
          <cell r="G985" t="str">
            <v>RSVL Gifhorn II</v>
          </cell>
          <cell r="H985" t="str">
            <v>Unger</v>
          </cell>
          <cell r="I985" t="str">
            <v>Marlon</v>
          </cell>
          <cell r="J985" t="str">
            <v>Unger   Marlon</v>
          </cell>
          <cell r="K985">
            <v>39234</v>
          </cell>
        </row>
        <row r="986">
          <cell r="D986">
            <v>603260</v>
          </cell>
          <cell r="E986" t="str">
            <v>RKB</v>
          </cell>
          <cell r="F986" t="str">
            <v>RKB  603260</v>
          </cell>
          <cell r="G986" t="str">
            <v>SG Osterfeld</v>
          </cell>
          <cell r="H986" t="str">
            <v>Unterberg</v>
          </cell>
          <cell r="I986" t="str">
            <v>Ann-Dorothee</v>
          </cell>
          <cell r="J986" t="str">
            <v>Unterberg   Ann-Dorothee</v>
          </cell>
          <cell r="K986">
            <v>34976</v>
          </cell>
        </row>
        <row r="987">
          <cell r="D987">
            <v>91164</v>
          </cell>
          <cell r="E987" t="str">
            <v>NDS</v>
          </cell>
          <cell r="F987" t="str">
            <v>NDS  91164</v>
          </cell>
          <cell r="G987" t="str">
            <v>TSV Barrien I</v>
          </cell>
          <cell r="H987" t="str">
            <v>Urbrock</v>
          </cell>
          <cell r="I987" t="str">
            <v>Michael</v>
          </cell>
          <cell r="J987" t="str">
            <v>Urbrock   Michael</v>
          </cell>
          <cell r="K987">
            <v>21755</v>
          </cell>
        </row>
        <row r="988">
          <cell r="D988">
            <v>215900</v>
          </cell>
          <cell r="E988" t="str">
            <v>RKB</v>
          </cell>
          <cell r="F988" t="str">
            <v>RKB  215900</v>
          </cell>
          <cell r="G988" t="str">
            <v>RSV Halle II</v>
          </cell>
          <cell r="H988" t="str">
            <v>Vauth</v>
          </cell>
          <cell r="I988" t="str">
            <v>Dominik</v>
          </cell>
          <cell r="J988" t="str">
            <v>Vauth   Dominik</v>
          </cell>
          <cell r="K988">
            <v>36161</v>
          </cell>
        </row>
        <row r="989">
          <cell r="D989">
            <v>95102</v>
          </cell>
          <cell r="E989" t="str">
            <v>NDS</v>
          </cell>
          <cell r="F989" t="str">
            <v>NDS 95102</v>
          </cell>
          <cell r="G989" t="str">
            <v>RV Warfleth II</v>
          </cell>
          <cell r="H989" t="str">
            <v>Veit</v>
          </cell>
          <cell r="I989" t="str">
            <v>Ulbrich</v>
          </cell>
          <cell r="J989" t="str">
            <v>Veit   Ulbrich</v>
          </cell>
          <cell r="K989">
            <v>21994</v>
          </cell>
        </row>
        <row r="990">
          <cell r="D990">
            <v>10050486864</v>
          </cell>
          <cell r="E990" t="str">
            <v>NDS</v>
          </cell>
          <cell r="F990" t="str">
            <v>NDS  10050486864</v>
          </cell>
          <cell r="G990" t="str">
            <v>RV Etelsen I</v>
          </cell>
          <cell r="H990" t="str">
            <v>Vesper</v>
          </cell>
          <cell r="I990" t="str">
            <v>Stefan</v>
          </cell>
          <cell r="J990" t="str">
            <v>Vesper   Stefan</v>
          </cell>
          <cell r="K990">
            <v>23440</v>
          </cell>
        </row>
        <row r="991">
          <cell r="D991">
            <v>95576</v>
          </cell>
          <cell r="E991" t="str">
            <v>NDS</v>
          </cell>
          <cell r="F991" t="str">
            <v>NDS  95576</v>
          </cell>
          <cell r="G991" t="str">
            <v>RV Warfleth II</v>
          </cell>
          <cell r="H991" t="str">
            <v>Vesper </v>
          </cell>
          <cell r="I991" t="str">
            <v>Andreas</v>
          </cell>
          <cell r="J991" t="str">
            <v>Vesper    Andreas</v>
          </cell>
          <cell r="K991">
            <v>23460</v>
          </cell>
        </row>
        <row r="992">
          <cell r="D992">
            <v>10051768375</v>
          </cell>
          <cell r="E992" t="str">
            <v>NDS</v>
          </cell>
          <cell r="F992" t="str">
            <v>NDS  10051768375</v>
          </cell>
          <cell r="G992" t="str">
            <v>RSVL Gifhorn III</v>
          </cell>
          <cell r="H992" t="str">
            <v>Vespermann</v>
          </cell>
          <cell r="I992" t="str">
            <v>Henri</v>
          </cell>
          <cell r="J992" t="str">
            <v>Vespermann   Henri</v>
          </cell>
          <cell r="K992">
            <v>35864</v>
          </cell>
        </row>
        <row r="993">
          <cell r="D993">
            <v>605489</v>
          </cell>
          <cell r="E993" t="str">
            <v>NRW</v>
          </cell>
          <cell r="F993" t="str">
            <v>NRW  605489</v>
          </cell>
          <cell r="G993" t="str">
            <v>RSC Schiefbahn II</v>
          </cell>
          <cell r="H993" t="str">
            <v>Vogel</v>
          </cell>
          <cell r="I993" t="str">
            <v>Robin</v>
          </cell>
          <cell r="J993" t="str">
            <v>Vogel   Robin</v>
          </cell>
          <cell r="K993">
            <v>35095</v>
          </cell>
        </row>
        <row r="994">
          <cell r="D994">
            <v>10043820035</v>
          </cell>
          <cell r="E994" t="str">
            <v>RKB</v>
          </cell>
          <cell r="F994" t="str">
            <v>RKB  10043820035</v>
          </cell>
          <cell r="G994" t="str">
            <v>RSV Bramsche III</v>
          </cell>
          <cell r="H994" t="str">
            <v>Vogelsang</v>
          </cell>
          <cell r="I994" t="str">
            <v>Christian</v>
          </cell>
          <cell r="J994" t="str">
            <v>Vogelsang   Christian</v>
          </cell>
          <cell r="K994">
            <v>32866</v>
          </cell>
        </row>
        <row r="995">
          <cell r="D995">
            <v>10043827311</v>
          </cell>
          <cell r="E995" t="str">
            <v>NDS</v>
          </cell>
          <cell r="F995" t="str">
            <v>NDS  10043827311</v>
          </cell>
          <cell r="G995" t="str">
            <v>RVT Aschendorf II</v>
          </cell>
          <cell r="H995" t="str">
            <v>Vogt</v>
          </cell>
          <cell r="I995" t="str">
            <v>Simon</v>
          </cell>
          <cell r="J995" t="str">
            <v>Vogt   Simon</v>
          </cell>
          <cell r="K995">
            <v>35418</v>
          </cell>
        </row>
        <row r="996">
          <cell r="D996">
            <v>10142491970</v>
          </cell>
          <cell r="E996" t="str">
            <v>RKB</v>
          </cell>
          <cell r="F996" t="str">
            <v>RKB  10142491970</v>
          </cell>
          <cell r="G996" t="str">
            <v>RSV Frellstedt I</v>
          </cell>
          <cell r="H996" t="str">
            <v>Volkmann</v>
          </cell>
          <cell r="I996" t="str">
            <v>Johanna</v>
          </cell>
          <cell r="J996" t="str">
            <v>Volkmann   Johanna</v>
          </cell>
          <cell r="K996">
            <v>40851</v>
          </cell>
        </row>
        <row r="997">
          <cell r="D997">
            <v>90906</v>
          </cell>
          <cell r="E997" t="str">
            <v>NDS</v>
          </cell>
          <cell r="F997" t="str">
            <v>NDS  90906</v>
          </cell>
          <cell r="G997" t="str">
            <v>RCT Hannover II</v>
          </cell>
          <cell r="H997" t="str">
            <v>Vollbrecht</v>
          </cell>
          <cell r="I997" t="str">
            <v>Michael</v>
          </cell>
          <cell r="J997" t="str">
            <v>Vollbrecht   Michael</v>
          </cell>
          <cell r="K997">
            <v>25272</v>
          </cell>
        </row>
        <row r="998">
          <cell r="D998">
            <v>10036557968</v>
          </cell>
          <cell r="E998" t="str">
            <v>NDS</v>
          </cell>
          <cell r="F998" t="str">
            <v>NDS  10036557968</v>
          </cell>
          <cell r="G998" t="str">
            <v>RCT Hannover III</v>
          </cell>
          <cell r="H998" t="str">
            <v>Vollbrecht</v>
          </cell>
          <cell r="I998" t="str">
            <v>Simon</v>
          </cell>
          <cell r="J998" t="str">
            <v>Vollbrecht   Simon</v>
          </cell>
          <cell r="K998">
            <v>36948</v>
          </cell>
        </row>
        <row r="999">
          <cell r="D999">
            <v>10036557967</v>
          </cell>
          <cell r="E999" t="str">
            <v>NDS</v>
          </cell>
          <cell r="F999" t="str">
            <v>NDS  10036557967</v>
          </cell>
          <cell r="G999" t="str">
            <v>RCT Hannover III</v>
          </cell>
          <cell r="H999" t="str">
            <v>Vollbrecht</v>
          </cell>
          <cell r="I999" t="str">
            <v>Tristan</v>
          </cell>
          <cell r="J999" t="str">
            <v>Vollbrecht   Tristan</v>
          </cell>
          <cell r="K999">
            <v>36948</v>
          </cell>
        </row>
        <row r="1000">
          <cell r="D1000">
            <v>10054091123</v>
          </cell>
          <cell r="E1000" t="str">
            <v>BRE</v>
          </cell>
          <cell r="F1000" t="str">
            <v>BRE  10054091123</v>
          </cell>
          <cell r="G1000" t="str">
            <v>RVS Oberneuland I</v>
          </cell>
          <cell r="H1000" t="str">
            <v>von Dölln</v>
          </cell>
          <cell r="I1000" t="str">
            <v>Kai</v>
          </cell>
          <cell r="J1000" t="str">
            <v>von Dölln   Kai</v>
          </cell>
          <cell r="K1000">
            <v>31454</v>
          </cell>
        </row>
        <row r="1001">
          <cell r="D1001">
            <v>10036400545</v>
          </cell>
          <cell r="E1001" t="str">
            <v>NDS</v>
          </cell>
          <cell r="F1001" t="str">
            <v>NDS  10036400545</v>
          </cell>
          <cell r="G1001" t="str">
            <v>RVS Obernfeld II</v>
          </cell>
          <cell r="H1001" t="str">
            <v>Voß</v>
          </cell>
          <cell r="I1001" t="str">
            <v>Janek</v>
          </cell>
          <cell r="J1001" t="str">
            <v>Voß   Janek</v>
          </cell>
          <cell r="K1001">
            <v>35149</v>
          </cell>
        </row>
        <row r="1002">
          <cell r="D1002">
            <v>10043816395</v>
          </cell>
          <cell r="E1002" t="str">
            <v>NDS</v>
          </cell>
          <cell r="F1002" t="str">
            <v>NDS  10043816395</v>
          </cell>
          <cell r="G1002" t="str">
            <v>RCG Hahndorf I</v>
          </cell>
          <cell r="H1002" t="str">
            <v>Voss</v>
          </cell>
          <cell r="I1002" t="str">
            <v>Jannik</v>
          </cell>
          <cell r="J1002" t="str">
            <v>Voss   Jannik</v>
          </cell>
          <cell r="K1002">
            <v>39325</v>
          </cell>
        </row>
        <row r="1003">
          <cell r="D1003">
            <v>10036392764</v>
          </cell>
          <cell r="E1003" t="str">
            <v>NDS</v>
          </cell>
          <cell r="F1003" t="str">
            <v>NDS  10036392764</v>
          </cell>
          <cell r="G1003" t="str">
            <v>RVM Göttingen II</v>
          </cell>
          <cell r="H1003" t="str">
            <v>Voß</v>
          </cell>
          <cell r="I1003" t="str">
            <v>Julian</v>
          </cell>
          <cell r="J1003" t="str">
            <v>Voß   Julian</v>
          </cell>
          <cell r="K1003">
            <v>35462</v>
          </cell>
        </row>
        <row r="1004">
          <cell r="D1004">
            <v>10073096049</v>
          </cell>
          <cell r="E1004" t="str">
            <v>NDS</v>
          </cell>
          <cell r="F1004" t="str">
            <v>NDS  10073096049</v>
          </cell>
          <cell r="G1004" t="str">
            <v>RVM Göttingen II</v>
          </cell>
          <cell r="H1004" t="str">
            <v>Voß</v>
          </cell>
          <cell r="I1004" t="str">
            <v>Karl-Heinz</v>
          </cell>
          <cell r="J1004" t="str">
            <v>Voß   Karl-Heinz</v>
          </cell>
          <cell r="K1004">
            <v>21254</v>
          </cell>
        </row>
        <row r="1005">
          <cell r="D1005">
            <v>10036400747</v>
          </cell>
          <cell r="E1005" t="str">
            <v>NDS</v>
          </cell>
          <cell r="F1005" t="str">
            <v>NDS  10036400747</v>
          </cell>
          <cell r="G1005" t="str">
            <v>RVS Obernfeld II</v>
          </cell>
          <cell r="H1005" t="str">
            <v>Voß</v>
          </cell>
          <cell r="I1005" t="str">
            <v>Simon</v>
          </cell>
          <cell r="J1005" t="str">
            <v>Voß   Simon</v>
          </cell>
          <cell r="K1005">
            <v>32282</v>
          </cell>
        </row>
        <row r="1006">
          <cell r="D1006">
            <v>90304</v>
          </cell>
          <cell r="E1006" t="str">
            <v>NDS</v>
          </cell>
          <cell r="F1006" t="str">
            <v>NDS  90304</v>
          </cell>
          <cell r="G1006" t="str">
            <v>RCG Hahndorf V</v>
          </cell>
          <cell r="H1006" t="str">
            <v>Waack</v>
          </cell>
          <cell r="I1006" t="str">
            <v>Alexander</v>
          </cell>
          <cell r="J1006" t="str">
            <v>Waack   Alexander</v>
          </cell>
          <cell r="K1006">
            <v>28504</v>
          </cell>
        </row>
        <row r="1007">
          <cell r="D1007">
            <v>90305</v>
          </cell>
          <cell r="E1007" t="str">
            <v>NDS</v>
          </cell>
          <cell r="F1007" t="str">
            <v>NDS  90305</v>
          </cell>
          <cell r="G1007" t="str">
            <v>RCG Hahndorf III</v>
          </cell>
          <cell r="H1007" t="str">
            <v>Waack</v>
          </cell>
          <cell r="I1007" t="str">
            <v>Oliver</v>
          </cell>
          <cell r="J1007" t="str">
            <v>Waack   Oliver</v>
          </cell>
          <cell r="K1007">
            <v>30245</v>
          </cell>
        </row>
        <row r="1008">
          <cell r="D1008">
            <v>10036529473</v>
          </cell>
          <cell r="E1008" t="str">
            <v>NDS</v>
          </cell>
          <cell r="F1008" t="str">
            <v>NDS  10036529473</v>
          </cell>
          <cell r="G1008" t="str">
            <v>RCT Hannover IV</v>
          </cell>
          <cell r="H1008" t="str">
            <v>Wachtel</v>
          </cell>
          <cell r="I1008" t="str">
            <v>Peer-Ole</v>
          </cell>
          <cell r="J1008" t="str">
            <v>Wachtel   Peer-Ole</v>
          </cell>
          <cell r="K1008">
            <v>37831</v>
          </cell>
        </row>
        <row r="1009">
          <cell r="D1009">
            <v>10071999444</v>
          </cell>
          <cell r="E1009" t="str">
            <v>NDS</v>
          </cell>
          <cell r="F1009" t="str">
            <v>NDS  10071999444</v>
          </cell>
          <cell r="G1009" t="str">
            <v>RVW Gieboldehausen I</v>
          </cell>
          <cell r="H1009" t="str">
            <v>Wagner</v>
          </cell>
          <cell r="I1009" t="str">
            <v>Damian</v>
          </cell>
          <cell r="J1009" t="str">
            <v>Wagner   Damian</v>
          </cell>
          <cell r="K1009">
            <v>38854</v>
          </cell>
        </row>
        <row r="1010">
          <cell r="D1010">
            <v>10054110220</v>
          </cell>
          <cell r="E1010" t="str">
            <v>RKB</v>
          </cell>
          <cell r="F1010" t="str">
            <v>RKB  10054110220</v>
          </cell>
          <cell r="G1010" t="str">
            <v>RSV Halle II</v>
          </cell>
          <cell r="H1010" t="str">
            <v>Wagner</v>
          </cell>
          <cell r="I1010" t="str">
            <v>Jana</v>
          </cell>
          <cell r="J1010" t="str">
            <v>Wagner   Jana</v>
          </cell>
          <cell r="K1010">
            <v>39240</v>
          </cell>
        </row>
        <row r="1011">
          <cell r="D1011">
            <v>95784</v>
          </cell>
          <cell r="E1011" t="str">
            <v>NDS</v>
          </cell>
          <cell r="F1011" t="str">
            <v>NDS  95784</v>
          </cell>
          <cell r="G1011" t="str">
            <v>RSVL Gifhorn II U13</v>
          </cell>
          <cell r="H1011" t="str">
            <v>Waldecker</v>
          </cell>
          <cell r="I1011" t="str">
            <v>Jan-Dirk</v>
          </cell>
          <cell r="J1011" t="str">
            <v>Waldecker   Jan-Dirk</v>
          </cell>
          <cell r="K1011">
            <v>37908</v>
          </cell>
        </row>
        <row r="1012">
          <cell r="D1012">
            <v>210839</v>
          </cell>
          <cell r="E1012" t="str">
            <v>RKB</v>
          </cell>
          <cell r="F1012" t="str">
            <v>RKB  210839</v>
          </cell>
          <cell r="G1012" t="str">
            <v>RSV Frellstedt IV</v>
          </cell>
          <cell r="H1012" t="str">
            <v>Walther</v>
          </cell>
          <cell r="I1012" t="str">
            <v>Torsten</v>
          </cell>
          <cell r="J1012" t="str">
            <v>Walther   Torsten</v>
          </cell>
          <cell r="K1012">
            <v>31252</v>
          </cell>
        </row>
        <row r="1013">
          <cell r="D1013">
            <v>10102538175</v>
          </cell>
          <cell r="E1013" t="str">
            <v>NDS</v>
          </cell>
          <cell r="F1013" t="str">
            <v>NDS  10102538175</v>
          </cell>
          <cell r="G1013" t="str">
            <v>TSV Barrien</v>
          </cell>
          <cell r="H1013" t="str">
            <v>Wandzik</v>
          </cell>
          <cell r="I1013" t="str">
            <v>Celina</v>
          </cell>
          <cell r="J1013" t="str">
            <v>Wandzik   Celina</v>
          </cell>
          <cell r="K1013">
            <v>37251</v>
          </cell>
        </row>
        <row r="1014">
          <cell r="D1014">
            <v>10090010021</v>
          </cell>
          <cell r="E1014" t="str">
            <v>NRW</v>
          </cell>
          <cell r="F1014" t="str">
            <v>NRW  10090010021</v>
          </cell>
          <cell r="G1014" t="str">
            <v>RSC Niedermehnen II</v>
          </cell>
          <cell r="H1014" t="str">
            <v>Warkentin</v>
          </cell>
          <cell r="I1014" t="str">
            <v>Celina</v>
          </cell>
          <cell r="J1014" t="str">
            <v>Warkentin   Celina</v>
          </cell>
          <cell r="K1014">
            <v>38935</v>
          </cell>
        </row>
        <row r="1015">
          <cell r="D1015">
            <v>10084244480</v>
          </cell>
          <cell r="E1015" t="str">
            <v>NDS</v>
          </cell>
          <cell r="F1015" t="str">
            <v>NDS  10084244480</v>
          </cell>
          <cell r="G1015" t="str">
            <v>RV Etelsen I</v>
          </cell>
          <cell r="H1015" t="str">
            <v>Warmbold</v>
          </cell>
          <cell r="I1015" t="str">
            <v>Dominik</v>
          </cell>
          <cell r="J1015" t="str">
            <v>Warmbold   Dominik</v>
          </cell>
          <cell r="K1015">
            <v>38934</v>
          </cell>
        </row>
        <row r="1016">
          <cell r="D1016">
            <v>10090010029</v>
          </cell>
          <cell r="E1016" t="str">
            <v>NDS</v>
          </cell>
          <cell r="F1016" t="str">
            <v>NDS  10090010029</v>
          </cell>
          <cell r="G1016" t="str">
            <v>SG Etelsen / Hannover</v>
          </cell>
          <cell r="H1016" t="str">
            <v>Warmbold</v>
          </cell>
          <cell r="I1016" t="str">
            <v>Lasse</v>
          </cell>
          <cell r="J1016" t="str">
            <v>Warmbold   Lasse</v>
          </cell>
          <cell r="K1016">
            <v>40239</v>
          </cell>
        </row>
        <row r="1017">
          <cell r="D1017">
            <v>90260</v>
          </cell>
          <cell r="E1017" t="str">
            <v>NDS</v>
          </cell>
          <cell r="F1017" t="str">
            <v>NDS  90260</v>
          </cell>
          <cell r="G1017" t="str">
            <v>RCBG Langenhagen I</v>
          </cell>
          <cell r="H1017" t="str">
            <v>Warnemann</v>
          </cell>
          <cell r="I1017" t="str">
            <v>Sandra-Lea</v>
          </cell>
          <cell r="J1017" t="str">
            <v>Warnemann   Sandra-Lea</v>
          </cell>
          <cell r="K1017">
            <v>27080</v>
          </cell>
        </row>
        <row r="1018">
          <cell r="D1018">
            <v>93167</v>
          </cell>
          <cell r="E1018" t="str">
            <v>NDS</v>
          </cell>
          <cell r="F1018" t="str">
            <v>NDS  93167</v>
          </cell>
          <cell r="G1018" t="str">
            <v>RV Etelsen III</v>
          </cell>
          <cell r="H1018" t="str">
            <v>Waschwill</v>
          </cell>
          <cell r="I1018" t="str">
            <v>Julia</v>
          </cell>
          <cell r="J1018" t="str">
            <v>Waschwill   Julia</v>
          </cell>
          <cell r="K1018">
            <v>32896</v>
          </cell>
        </row>
        <row r="1019">
          <cell r="D1019">
            <v>708962</v>
          </cell>
          <cell r="E1019" t="str">
            <v>NDS</v>
          </cell>
          <cell r="F1019" t="str">
            <v>NDS  708962</v>
          </cell>
          <cell r="G1019" t="str">
            <v>RV Etelsen I</v>
          </cell>
          <cell r="H1019" t="str">
            <v>Waschwill</v>
          </cell>
          <cell r="I1019" t="str">
            <v>Viola</v>
          </cell>
          <cell r="J1019" t="str">
            <v>Waschwill   Viola</v>
          </cell>
          <cell r="K1019">
            <v>33556</v>
          </cell>
        </row>
        <row r="1020">
          <cell r="D1020">
            <v>98067</v>
          </cell>
          <cell r="E1020" t="str">
            <v>NDS</v>
          </cell>
          <cell r="F1020" t="str">
            <v>NDS  98067</v>
          </cell>
          <cell r="G1020" t="str">
            <v>RVA Rollshausen II a.K.</v>
          </cell>
          <cell r="H1020" t="str">
            <v>Weber</v>
          </cell>
          <cell r="I1020" t="str">
            <v>Lilly</v>
          </cell>
          <cell r="J1020" t="str">
            <v>Weber   Lilly</v>
          </cell>
          <cell r="K1020">
            <v>37107</v>
          </cell>
        </row>
        <row r="1021">
          <cell r="D1021">
            <v>98148</v>
          </cell>
          <cell r="E1021" t="str">
            <v>NDS</v>
          </cell>
          <cell r="F1021" t="str">
            <v>NDS  98148</v>
          </cell>
          <cell r="G1021" t="str">
            <v>RVT Aschendorf</v>
          </cell>
          <cell r="H1021" t="str">
            <v>Weber</v>
          </cell>
          <cell r="I1021" t="str">
            <v>Marco</v>
          </cell>
          <cell r="J1021" t="str">
            <v>Weber   Marco</v>
          </cell>
          <cell r="K1021">
            <v>34651</v>
          </cell>
        </row>
        <row r="1022">
          <cell r="D1022">
            <v>600990</v>
          </cell>
          <cell r="E1022" t="str">
            <v>RKB</v>
          </cell>
          <cell r="F1022" t="str">
            <v>NRW 600990</v>
          </cell>
          <cell r="G1022" t="str">
            <v>RV Baesweiler I</v>
          </cell>
          <cell r="H1022" t="str">
            <v>Weber</v>
          </cell>
          <cell r="I1022" t="str">
            <v>Marvin</v>
          </cell>
          <cell r="J1022" t="str">
            <v>Weber   Marvin</v>
          </cell>
          <cell r="K1022">
            <v>33051</v>
          </cell>
        </row>
        <row r="1023">
          <cell r="D1023">
            <v>93428</v>
          </cell>
          <cell r="E1023" t="str">
            <v>NDS</v>
          </cell>
          <cell r="F1023" t="str">
            <v>NDS  93428</v>
          </cell>
          <cell r="G1023" t="str">
            <v>RVM Bilshausen II</v>
          </cell>
          <cell r="H1023" t="str">
            <v>Weber</v>
          </cell>
          <cell r="I1023" t="str">
            <v>Wolfgang</v>
          </cell>
          <cell r="J1023" t="str">
            <v>Weber   Wolfgang</v>
          </cell>
          <cell r="K1023">
            <v>24849</v>
          </cell>
        </row>
        <row r="1024">
          <cell r="D1024">
            <v>213943</v>
          </cell>
          <cell r="E1024" t="str">
            <v>RKB</v>
          </cell>
          <cell r="F1024" t="str">
            <v>RKB  213943</v>
          </cell>
          <cell r="G1024" t="str">
            <v>SC Woltringhausen II</v>
          </cell>
          <cell r="H1024" t="str">
            <v>Wege</v>
          </cell>
          <cell r="I1024" t="str">
            <v>Sabrina</v>
          </cell>
          <cell r="J1024" t="str">
            <v>Wege   Sabrina</v>
          </cell>
          <cell r="K1024">
            <v>34972</v>
          </cell>
        </row>
        <row r="1025">
          <cell r="D1025">
            <v>210899</v>
          </cell>
          <cell r="E1025" t="str">
            <v>RKB</v>
          </cell>
          <cell r="F1025" t="str">
            <v>RKB  210899</v>
          </cell>
          <cell r="G1025" t="str">
            <v>RSV Halle III</v>
          </cell>
          <cell r="H1025" t="str">
            <v>Wehmer</v>
          </cell>
          <cell r="I1025" t="str">
            <v>Ann-Catrin</v>
          </cell>
          <cell r="J1025" t="str">
            <v>Wehmer   Ann-Catrin</v>
          </cell>
          <cell r="K1025">
            <v>32196</v>
          </cell>
        </row>
        <row r="1026">
          <cell r="D1026">
            <v>210900</v>
          </cell>
          <cell r="E1026" t="str">
            <v>RKB</v>
          </cell>
          <cell r="F1026" t="str">
            <v>RKB  210900</v>
          </cell>
          <cell r="G1026" t="str">
            <v>RSV Halle III</v>
          </cell>
          <cell r="H1026" t="str">
            <v>Wehmer</v>
          </cell>
          <cell r="I1026" t="str">
            <v>Lothar</v>
          </cell>
          <cell r="J1026" t="str">
            <v>Wehmer   Lothar</v>
          </cell>
          <cell r="K1026">
            <v>21389</v>
          </cell>
        </row>
        <row r="1027">
          <cell r="D1027">
            <v>212409</v>
          </cell>
          <cell r="E1027" t="str">
            <v>RKB</v>
          </cell>
          <cell r="F1027" t="str">
            <v>RKB  212409</v>
          </cell>
          <cell r="G1027" t="str">
            <v>RSV Halle II</v>
          </cell>
          <cell r="H1027" t="str">
            <v>Wehmer</v>
          </cell>
          <cell r="I1027" t="str">
            <v>Yara</v>
          </cell>
          <cell r="J1027" t="str">
            <v>Wehmer   Yara</v>
          </cell>
          <cell r="K1027">
            <v>33576</v>
          </cell>
        </row>
        <row r="1028">
          <cell r="D1028">
            <v>142035</v>
          </cell>
          <cell r="E1028" t="str">
            <v>SAH</v>
          </cell>
          <cell r="F1028" t="str">
            <v>SAH  142035</v>
          </cell>
          <cell r="G1028" t="str">
            <v>HSV Colbitz</v>
          </cell>
          <cell r="H1028" t="str">
            <v>Weidemann</v>
          </cell>
          <cell r="I1028" t="str">
            <v>Laura</v>
          </cell>
          <cell r="J1028" t="str">
            <v>Weidemann   Laura</v>
          </cell>
          <cell r="K1028">
            <v>35452</v>
          </cell>
        </row>
        <row r="1029">
          <cell r="D1029">
            <v>10036540486</v>
          </cell>
          <cell r="E1029" t="str">
            <v>HES</v>
          </cell>
          <cell r="F1029" t="str">
            <v>HES  10036540486</v>
          </cell>
          <cell r="G1029" t="str">
            <v>RSV Krofdorf</v>
          </cell>
          <cell r="H1029" t="str">
            <v>Weigand</v>
          </cell>
          <cell r="I1029" t="str">
            <v>Ben   </v>
          </cell>
          <cell r="J1029" t="str">
            <v>Weigand   Ben   </v>
          </cell>
          <cell r="K1029">
            <v>38302</v>
          </cell>
        </row>
        <row r="1030">
          <cell r="D1030">
            <v>213272</v>
          </cell>
          <cell r="E1030" t="str">
            <v>RKB</v>
          </cell>
          <cell r="F1030" t="str">
            <v>RKB  213272</v>
          </cell>
          <cell r="G1030" t="str">
            <v>SC Woltringhausen II</v>
          </cell>
          <cell r="H1030" t="str">
            <v>Weigelt</v>
          </cell>
          <cell r="I1030" t="str">
            <v>Dominique</v>
          </cell>
          <cell r="J1030" t="str">
            <v>Weigelt   Dominique</v>
          </cell>
          <cell r="K1030">
            <v>32960</v>
          </cell>
        </row>
        <row r="1031">
          <cell r="D1031">
            <v>212910</v>
          </cell>
          <cell r="E1031" t="str">
            <v>RKB</v>
          </cell>
          <cell r="F1031" t="str">
            <v>RKB  212910</v>
          </cell>
          <cell r="G1031" t="str">
            <v>SC Woltringhausen I</v>
          </cell>
          <cell r="H1031" t="str">
            <v>Weigelt</v>
          </cell>
          <cell r="I1031" t="str">
            <v>Vanessa</v>
          </cell>
          <cell r="J1031" t="str">
            <v>Weigelt   Vanessa</v>
          </cell>
          <cell r="K1031">
            <v>32322</v>
          </cell>
        </row>
        <row r="1032">
          <cell r="D1032">
            <v>10086988671</v>
          </cell>
          <cell r="E1032" t="str">
            <v>RKB</v>
          </cell>
          <cell r="F1032" t="str">
            <v>RKB  10086988671</v>
          </cell>
          <cell r="G1032" t="str">
            <v>RSV Frellstedt II</v>
          </cell>
          <cell r="H1032" t="str">
            <v>Weigold</v>
          </cell>
          <cell r="I1032" t="str">
            <v>Jolie</v>
          </cell>
          <cell r="J1032" t="str">
            <v>Weigold   Jolie</v>
          </cell>
          <cell r="K1032">
            <v>39771</v>
          </cell>
        </row>
        <row r="1033">
          <cell r="D1033">
            <v>10124999436</v>
          </cell>
          <cell r="E1033" t="str">
            <v>SAH</v>
          </cell>
          <cell r="F1033" t="str">
            <v>SAH  10124999436</v>
          </cell>
          <cell r="G1033" t="str">
            <v>Reideburger SV II</v>
          </cell>
          <cell r="H1033" t="str">
            <v>Weinhold</v>
          </cell>
          <cell r="I1033" t="str">
            <v>Toni</v>
          </cell>
          <cell r="J1033" t="str">
            <v>Weinhold   Toni</v>
          </cell>
          <cell r="K1033">
            <v>41014</v>
          </cell>
        </row>
        <row r="1034">
          <cell r="D1034">
            <v>10086784062</v>
          </cell>
          <cell r="E1034" t="str">
            <v>NDS</v>
          </cell>
          <cell r="F1034" t="str">
            <v>NDS  10086784062</v>
          </cell>
          <cell r="G1034" t="str">
            <v>RVS Obernfeld II</v>
          </cell>
          <cell r="H1034" t="str">
            <v>Weiß</v>
          </cell>
          <cell r="I1034" t="str">
            <v>Hagen</v>
          </cell>
          <cell r="J1034" t="str">
            <v>Weiß   Hagen</v>
          </cell>
          <cell r="K1034">
            <v>39579</v>
          </cell>
        </row>
        <row r="1035">
          <cell r="D1035">
            <v>10145554746</v>
          </cell>
          <cell r="E1035" t="str">
            <v>NDS</v>
          </cell>
          <cell r="F1035" t="str">
            <v>NDS  10145554746</v>
          </cell>
          <cell r="G1035" t="str">
            <v>RVS Obernfeld I</v>
          </cell>
          <cell r="H1035" t="str">
            <v>Weiß</v>
          </cell>
          <cell r="I1035" t="str">
            <v>Henning</v>
          </cell>
          <cell r="J1035" t="str">
            <v>Weiß   Henning</v>
          </cell>
          <cell r="K1035">
            <v>40551</v>
          </cell>
        </row>
        <row r="1036">
          <cell r="D1036">
            <v>10046116006</v>
          </cell>
          <cell r="E1036" t="str">
            <v>HES</v>
          </cell>
          <cell r="F1036" t="str">
            <v>HES  10046116006</v>
          </cell>
          <cell r="G1036" t="str">
            <v>SV Eberstadt</v>
          </cell>
          <cell r="H1036" t="str">
            <v>Weiße</v>
          </cell>
          <cell r="I1036" t="str">
            <v>Frederik</v>
          </cell>
          <cell r="J1036" t="str">
            <v>Weiße   Frederik</v>
          </cell>
          <cell r="K1036">
            <v>38485</v>
          </cell>
        </row>
        <row r="1037">
          <cell r="D1037">
            <v>44735</v>
          </cell>
          <cell r="E1037" t="str">
            <v>BRA</v>
          </cell>
          <cell r="F1037" t="str">
            <v>BRA  44735</v>
          </cell>
          <cell r="G1037" t="str">
            <v>Ludwigsfelder SC</v>
          </cell>
          <cell r="H1037" t="str">
            <v>Weissenborn</v>
          </cell>
          <cell r="I1037" t="str">
            <v>Nicolas</v>
          </cell>
          <cell r="J1037" t="str">
            <v>Weissenborn   Nicolas</v>
          </cell>
          <cell r="K1037">
            <v>37562</v>
          </cell>
        </row>
        <row r="1038">
          <cell r="D1038">
            <v>10050472922</v>
          </cell>
          <cell r="E1038" t="str">
            <v>RKB</v>
          </cell>
          <cell r="F1038" t="str">
            <v>RKB  10050472922</v>
          </cell>
          <cell r="G1038" t="str">
            <v>RSV Halle I</v>
          </cell>
          <cell r="H1038" t="str">
            <v>Weking</v>
          </cell>
          <cell r="I1038" t="str">
            <v>Celina</v>
          </cell>
          <cell r="J1038" t="str">
            <v>Weking   Celina</v>
          </cell>
          <cell r="K1038">
            <v>39534</v>
          </cell>
        </row>
        <row r="1039">
          <cell r="D1039">
            <v>212909</v>
          </cell>
          <cell r="E1039" t="str">
            <v>RKB</v>
          </cell>
          <cell r="F1039" t="str">
            <v>RKB  212909</v>
          </cell>
          <cell r="G1039" t="str">
            <v>SC Woltringhausen I</v>
          </cell>
          <cell r="H1039" t="str">
            <v>Weking</v>
          </cell>
          <cell r="I1039" t="str">
            <v>Christina</v>
          </cell>
          <cell r="J1039" t="str">
            <v>Weking   Christina</v>
          </cell>
          <cell r="K1039">
            <v>29871</v>
          </cell>
        </row>
        <row r="1040">
          <cell r="D1040">
            <v>10113689842</v>
          </cell>
          <cell r="E1040" t="str">
            <v>RKB</v>
          </cell>
          <cell r="F1040" t="str">
            <v>RKB  10113689842</v>
          </cell>
          <cell r="G1040" t="str">
            <v>RSV Halle I</v>
          </cell>
          <cell r="H1040" t="str">
            <v>Weking</v>
          </cell>
          <cell r="I1040" t="str">
            <v>Haley</v>
          </cell>
          <cell r="J1040" t="str">
            <v>Weking   Haley</v>
          </cell>
          <cell r="K1040">
            <v>41164</v>
          </cell>
        </row>
        <row r="1041">
          <cell r="D1041">
            <v>10054093648</v>
          </cell>
          <cell r="E1041" t="str">
            <v>RKB</v>
          </cell>
          <cell r="F1041" t="str">
            <v>RKB  10054093648</v>
          </cell>
          <cell r="G1041" t="str">
            <v>RSV Halle I</v>
          </cell>
          <cell r="H1041" t="str">
            <v>Weking</v>
          </cell>
          <cell r="I1041" t="str">
            <v>Zoe Josefine Elaine</v>
          </cell>
          <cell r="J1041" t="str">
            <v>Weking   Zoe Josefine Elaine</v>
          </cell>
          <cell r="K1041">
            <v>38298</v>
          </cell>
        </row>
        <row r="1042">
          <cell r="D1042">
            <v>214303</v>
          </cell>
          <cell r="E1042" t="str">
            <v>RKB</v>
          </cell>
          <cell r="F1042" t="str">
            <v>RKB  214303</v>
          </cell>
          <cell r="G1042" t="str">
            <v>RSV Frellstedt II</v>
          </cell>
          <cell r="H1042" t="str">
            <v>Welge</v>
          </cell>
          <cell r="I1042" t="str">
            <v>Neela</v>
          </cell>
          <cell r="J1042" t="str">
            <v>Welge   Neela</v>
          </cell>
          <cell r="K1042">
            <v>35965</v>
          </cell>
        </row>
        <row r="1043">
          <cell r="D1043">
            <v>10072000050</v>
          </cell>
          <cell r="E1043" t="str">
            <v>NDS</v>
          </cell>
          <cell r="F1043" t="str">
            <v>NDS  10072000050</v>
          </cell>
          <cell r="G1043" t="str">
            <v>RVM Bilshausen I</v>
          </cell>
          <cell r="H1043" t="str">
            <v>Wendland</v>
          </cell>
          <cell r="I1043" t="str">
            <v>Wilm</v>
          </cell>
          <cell r="J1043" t="str">
            <v>Wendland   Wilm</v>
          </cell>
          <cell r="K1043">
            <v>39449</v>
          </cell>
        </row>
        <row r="1044">
          <cell r="D1044">
            <v>10036202909</v>
          </cell>
          <cell r="E1044" t="str">
            <v>NRW</v>
          </cell>
          <cell r="F1044" t="str">
            <v>NRW  10036202909</v>
          </cell>
          <cell r="G1044" t="str">
            <v>RSC Niedermehnen I</v>
          </cell>
          <cell r="H1044" t="str">
            <v>Wenzel</v>
          </cell>
          <cell r="I1044" t="str">
            <v>Merle</v>
          </cell>
          <cell r="J1044" t="str">
            <v>Wenzel   Merle</v>
          </cell>
          <cell r="K1044">
            <v>39292</v>
          </cell>
        </row>
        <row r="1045">
          <cell r="D1045">
            <v>604599</v>
          </cell>
          <cell r="E1045" t="str">
            <v>NRW</v>
          </cell>
          <cell r="F1045" t="str">
            <v>NRW  604599</v>
          </cell>
          <cell r="G1045" t="str">
            <v>RSC Niedermehnen I</v>
          </cell>
          <cell r="H1045" t="str">
            <v>Wenzel</v>
          </cell>
          <cell r="I1045" t="str">
            <v>Nils</v>
          </cell>
          <cell r="J1045" t="str">
            <v>Wenzel   Nils</v>
          </cell>
          <cell r="K1045">
            <v>38354</v>
          </cell>
        </row>
        <row r="1046">
          <cell r="D1046">
            <v>99004</v>
          </cell>
          <cell r="E1046" t="str">
            <v>NDS</v>
          </cell>
          <cell r="F1046" t="str">
            <v>NDS  99004</v>
          </cell>
          <cell r="G1046" t="str">
            <v>Etelsen I</v>
          </cell>
          <cell r="H1046" t="str">
            <v>Werk</v>
          </cell>
          <cell r="I1046" t="str">
            <v>Kevin</v>
          </cell>
          <cell r="J1046" t="str">
            <v>Werk   Kevin</v>
          </cell>
          <cell r="K1046">
            <v>37006</v>
          </cell>
        </row>
        <row r="1047">
          <cell r="D1047">
            <v>215064</v>
          </cell>
          <cell r="E1047" t="str">
            <v>RKB</v>
          </cell>
          <cell r="F1047" t="str">
            <v>RKB  215064</v>
          </cell>
          <cell r="G1047" t="str">
            <v>RSV Halle II</v>
          </cell>
          <cell r="H1047" t="str">
            <v>Wesling</v>
          </cell>
          <cell r="I1047" t="str">
            <v>Kevin</v>
          </cell>
          <cell r="J1047" t="str">
            <v>Wesling   Kevin</v>
          </cell>
          <cell r="K1047">
            <v>35327</v>
          </cell>
        </row>
        <row r="1048">
          <cell r="D1048">
            <v>10046164809</v>
          </cell>
          <cell r="E1048" t="str">
            <v>BRE</v>
          </cell>
          <cell r="F1048" t="str">
            <v>BRE  10046164809</v>
          </cell>
          <cell r="G1048" t="str">
            <v>RVS Oberneuland I</v>
          </cell>
          <cell r="H1048" t="str">
            <v>Weßel</v>
          </cell>
          <cell r="I1048" t="str">
            <v>Kai</v>
          </cell>
          <cell r="J1048" t="str">
            <v>Weßel   Kai</v>
          </cell>
          <cell r="K1048">
            <v>34113</v>
          </cell>
        </row>
        <row r="1049">
          <cell r="D1049">
            <v>10049153722</v>
          </cell>
          <cell r="E1049" t="str">
            <v>BRE</v>
          </cell>
          <cell r="F1049" t="str">
            <v>BRE  10049153722</v>
          </cell>
          <cell r="G1049" t="str">
            <v>RVS Oberneuland </v>
          </cell>
          <cell r="H1049" t="str">
            <v>Weßel</v>
          </cell>
          <cell r="I1049" t="str">
            <v>Mark</v>
          </cell>
          <cell r="J1049" t="str">
            <v>Weßel   Mark</v>
          </cell>
          <cell r="K1049">
            <v>35847</v>
          </cell>
        </row>
        <row r="1050">
          <cell r="D1050">
            <v>10049151601</v>
          </cell>
          <cell r="E1050" t="str">
            <v>BRE</v>
          </cell>
          <cell r="F1050" t="str">
            <v>BRE  10049151601</v>
          </cell>
          <cell r="G1050" t="str">
            <v>RVS Oberneuland II</v>
          </cell>
          <cell r="H1050" t="str">
            <v>Weßel</v>
          </cell>
          <cell r="I1050" t="str">
            <v>Thomas</v>
          </cell>
          <cell r="J1050" t="str">
            <v>Weßel   Thomas</v>
          </cell>
          <cell r="K1050">
            <v>22341</v>
          </cell>
        </row>
        <row r="1051">
          <cell r="D1051">
            <v>216357</v>
          </cell>
          <cell r="E1051" t="str">
            <v>RKB</v>
          </cell>
          <cell r="F1051" t="str">
            <v>RKB  216357</v>
          </cell>
          <cell r="G1051" t="str">
            <v>RSV Halle II</v>
          </cell>
          <cell r="H1051" t="str">
            <v>Wessler</v>
          </cell>
          <cell r="I1051" t="str">
            <v>Eik</v>
          </cell>
          <cell r="J1051" t="str">
            <v>Wessler   Eik</v>
          </cell>
          <cell r="K1051">
            <v>24890</v>
          </cell>
        </row>
        <row r="1052">
          <cell r="D1052">
            <v>212824</v>
          </cell>
          <cell r="E1052" t="str">
            <v>RKB</v>
          </cell>
          <cell r="F1052" t="str">
            <v>RKB  212824</v>
          </cell>
          <cell r="G1052" t="str">
            <v>SC Woltringhausen II</v>
          </cell>
          <cell r="H1052" t="str">
            <v>Weßling</v>
          </cell>
          <cell r="I1052" t="str">
            <v>Anne</v>
          </cell>
          <cell r="J1052" t="str">
            <v>Weßling   Anne</v>
          </cell>
          <cell r="K1052">
            <v>34100</v>
          </cell>
        </row>
        <row r="1053">
          <cell r="D1053">
            <v>10090010032</v>
          </cell>
          <cell r="E1053" t="str">
            <v>NDS</v>
          </cell>
          <cell r="F1053" t="str">
            <v>NDS  10090010032</v>
          </cell>
          <cell r="G1053" t="str">
            <v>RV Etelsen II</v>
          </cell>
          <cell r="H1053" t="str">
            <v>Westermann</v>
          </cell>
          <cell r="I1053" t="str">
            <v>Luka</v>
          </cell>
          <cell r="J1053" t="str">
            <v>Westermann   Luka</v>
          </cell>
          <cell r="K1053">
            <v>40150</v>
          </cell>
        </row>
        <row r="1054">
          <cell r="D1054">
            <v>10064866712</v>
          </cell>
          <cell r="E1054" t="str">
            <v>NRW</v>
          </cell>
          <cell r="F1054" t="str">
            <v>NRW  10064866712</v>
          </cell>
          <cell r="G1054" t="str">
            <v>RSV Leeden I</v>
          </cell>
          <cell r="H1054" t="str">
            <v>Westphal</v>
          </cell>
          <cell r="I1054" t="str">
            <v>Pascal</v>
          </cell>
          <cell r="J1054" t="str">
            <v>Westphal   Pascal</v>
          </cell>
          <cell r="K1054">
            <v>39917</v>
          </cell>
        </row>
        <row r="1055">
          <cell r="D1055">
            <v>95292</v>
          </cell>
          <cell r="E1055" t="str">
            <v>NDS</v>
          </cell>
          <cell r="F1055" t="str">
            <v>NDS  95292</v>
          </cell>
          <cell r="G1055" t="str">
            <v>RCG Hahndorf II</v>
          </cell>
          <cell r="H1055" t="str">
            <v>Wiechens</v>
          </cell>
          <cell r="I1055" t="str">
            <v>Finn</v>
          </cell>
          <cell r="J1055" t="str">
            <v>Wiechens   Finn</v>
          </cell>
          <cell r="K1055">
            <v>36436</v>
          </cell>
        </row>
        <row r="1056">
          <cell r="D1056">
            <v>10051876542</v>
          </cell>
          <cell r="E1056" t="str">
            <v>NDS</v>
          </cell>
          <cell r="F1056" t="str">
            <v>NDS  10051876542</v>
          </cell>
          <cell r="G1056" t="str">
            <v>TSV Barrien I</v>
          </cell>
          <cell r="H1056" t="str">
            <v>Wieczoreck</v>
          </cell>
          <cell r="I1056" t="str">
            <v>Eike</v>
          </cell>
          <cell r="J1056" t="str">
            <v>Wieczoreck   Eike</v>
          </cell>
          <cell r="K1056">
            <v>34860</v>
          </cell>
        </row>
        <row r="1057">
          <cell r="D1057">
            <v>10064322300</v>
          </cell>
          <cell r="E1057" t="str">
            <v>NDS</v>
          </cell>
          <cell r="F1057" t="str">
            <v>NDS  10064322300</v>
          </cell>
          <cell r="G1057" t="str">
            <v>TSV Barrien</v>
          </cell>
          <cell r="H1057" t="str">
            <v>Wieczoreck</v>
          </cell>
          <cell r="I1057" t="str">
            <v>Thomas</v>
          </cell>
          <cell r="J1057" t="str">
            <v>Wieczoreck   Thomas</v>
          </cell>
          <cell r="K1057">
            <v>24843</v>
          </cell>
        </row>
        <row r="1058">
          <cell r="D1058">
            <v>10051760695</v>
          </cell>
          <cell r="E1058" t="str">
            <v>NDS</v>
          </cell>
          <cell r="F1058" t="str">
            <v>NDS  10051760695</v>
          </cell>
          <cell r="G1058" t="str">
            <v>TSV Barrien I</v>
          </cell>
          <cell r="H1058" t="str">
            <v>Wieczorek</v>
          </cell>
          <cell r="I1058" t="str">
            <v>Stefan</v>
          </cell>
          <cell r="J1058" t="str">
            <v>Wieczorek   Stefan</v>
          </cell>
          <cell r="K1058">
            <v>25656</v>
          </cell>
        </row>
        <row r="1059">
          <cell r="D1059">
            <v>606255</v>
          </cell>
          <cell r="E1059" t="str">
            <v>NRW</v>
          </cell>
          <cell r="F1059" t="str">
            <v>NRW  606255</v>
          </cell>
          <cell r="G1059" t="str">
            <v>RSC Schiefbahn II</v>
          </cell>
          <cell r="H1059" t="str">
            <v>Wiegand</v>
          </cell>
          <cell r="I1059" t="str">
            <v>Philipp</v>
          </cell>
          <cell r="J1059" t="str">
            <v>Wiegand   Philipp</v>
          </cell>
          <cell r="K1059">
            <v>34226</v>
          </cell>
        </row>
        <row r="1060">
          <cell r="D1060">
            <v>10036382862</v>
          </cell>
          <cell r="E1060" t="str">
            <v>BRA</v>
          </cell>
          <cell r="F1060" t="str">
            <v>BRA  10036382862</v>
          </cell>
          <cell r="G1060" t="str">
            <v>SV WG Märkisch Buchholz</v>
          </cell>
          <cell r="H1060" t="str">
            <v>Wilke</v>
          </cell>
          <cell r="I1060" t="str">
            <v>Max</v>
          </cell>
          <cell r="J1060" t="str">
            <v>Wilke   Max</v>
          </cell>
          <cell r="K1060">
            <v>38525</v>
          </cell>
        </row>
        <row r="1061">
          <cell r="D1061">
            <v>10136685108</v>
          </cell>
          <cell r="E1061" t="str">
            <v>RKB</v>
          </cell>
          <cell r="F1061" t="str">
            <v>RKB  10136685108</v>
          </cell>
          <cell r="G1061" t="str">
            <v>RSV Frellstedt a.K.</v>
          </cell>
          <cell r="H1061" t="str">
            <v>Wilke</v>
          </cell>
          <cell r="I1061" t="str">
            <v>Thaddäus</v>
          </cell>
          <cell r="J1061" t="str">
            <v>Wilke   Thaddäus</v>
          </cell>
          <cell r="K1061">
            <v>40519</v>
          </cell>
        </row>
        <row r="1062">
          <cell r="D1062">
            <v>92835</v>
          </cell>
          <cell r="E1062" t="str">
            <v>NDS</v>
          </cell>
          <cell r="F1062" t="str">
            <v>NDS  92835</v>
          </cell>
          <cell r="G1062" t="str">
            <v>RTC Hildesheim I</v>
          </cell>
          <cell r="H1062" t="str">
            <v>Will</v>
          </cell>
          <cell r="I1062" t="str">
            <v>Janine</v>
          </cell>
          <cell r="J1062" t="str">
            <v>Will   Janine</v>
          </cell>
          <cell r="K1062">
            <v>33009</v>
          </cell>
        </row>
        <row r="1063">
          <cell r="D1063">
            <v>44669</v>
          </cell>
          <cell r="E1063" t="str">
            <v>BRA</v>
          </cell>
          <cell r="F1063" t="str">
            <v>BRA  44669</v>
          </cell>
          <cell r="G1063" t="str">
            <v>SV Mühlenbeck</v>
          </cell>
          <cell r="H1063" t="str">
            <v>Willberger</v>
          </cell>
          <cell r="I1063" t="str">
            <v>Tino</v>
          </cell>
          <cell r="J1063" t="str">
            <v>Willberger   Tino</v>
          </cell>
          <cell r="K1063">
            <v>36624</v>
          </cell>
        </row>
        <row r="1064">
          <cell r="D1064">
            <v>608959</v>
          </cell>
          <cell r="E1064" t="str">
            <v>NRW</v>
          </cell>
          <cell r="F1064" t="str">
            <v>NRW  608959</v>
          </cell>
          <cell r="G1064" t="str">
            <v>RSV Münster I</v>
          </cell>
          <cell r="H1064" t="str">
            <v>Wille</v>
          </cell>
          <cell r="I1064" t="str">
            <v>Christopher</v>
          </cell>
          <cell r="J1064" t="str">
            <v>Wille   Christopher</v>
          </cell>
          <cell r="K1064">
            <v>36519</v>
          </cell>
        </row>
        <row r="1065">
          <cell r="D1065">
            <v>10048524939</v>
          </cell>
          <cell r="E1065" t="str">
            <v>NDS</v>
          </cell>
          <cell r="F1065" t="str">
            <v>NDS  10048524939</v>
          </cell>
          <cell r="G1065" t="str">
            <v>RVGR Oker I</v>
          </cell>
          <cell r="H1065" t="str">
            <v>Willgerodt</v>
          </cell>
          <cell r="I1065" t="str">
            <v>Anton</v>
          </cell>
          <cell r="J1065" t="str">
            <v>Willgerodt   Anton</v>
          </cell>
          <cell r="K1065">
            <v>35234</v>
          </cell>
        </row>
        <row r="1066">
          <cell r="D1066">
            <v>98350</v>
          </cell>
          <cell r="E1066" t="str">
            <v>NDS</v>
          </cell>
          <cell r="F1066" t="str">
            <v>NDS  98350</v>
          </cell>
          <cell r="G1066" t="str">
            <v>RVGR Oker a.K.</v>
          </cell>
          <cell r="H1066" t="str">
            <v>Willgerodt</v>
          </cell>
          <cell r="I1066" t="str">
            <v>Michel</v>
          </cell>
          <cell r="J1066" t="str">
            <v>Willgerodt   Michel</v>
          </cell>
          <cell r="K1066">
            <v>34400</v>
          </cell>
        </row>
        <row r="1067">
          <cell r="D1067">
            <v>214299</v>
          </cell>
          <cell r="E1067" t="str">
            <v>RKB</v>
          </cell>
          <cell r="F1067" t="str">
            <v>RKB  214299</v>
          </cell>
          <cell r="G1067" t="str">
            <v>RSV Frellstedt</v>
          </cell>
          <cell r="H1067" t="str">
            <v>Willhauck</v>
          </cell>
          <cell r="I1067" t="str">
            <v>Rudolf</v>
          </cell>
          <cell r="J1067" t="str">
            <v>Willhauck   Rudolf</v>
          </cell>
          <cell r="K1067">
            <v>35377</v>
          </cell>
        </row>
        <row r="1068">
          <cell r="D1068">
            <v>10073090591</v>
          </cell>
          <cell r="E1068" t="str">
            <v>NDS</v>
          </cell>
          <cell r="F1068" t="str">
            <v>NDS  10073090591</v>
          </cell>
          <cell r="G1068" t="str">
            <v>RCT Hannover U17 a.K.</v>
          </cell>
          <cell r="H1068" t="str">
            <v>Winkelmann</v>
          </cell>
          <cell r="I1068" t="str">
            <v>Felix</v>
          </cell>
          <cell r="J1068" t="str">
            <v>Winkelmann   Felix</v>
          </cell>
          <cell r="K1068">
            <v>38187</v>
          </cell>
        </row>
        <row r="1069">
          <cell r="D1069">
            <v>10050484339</v>
          </cell>
          <cell r="E1069" t="str">
            <v>NDS</v>
          </cell>
          <cell r="F1069" t="str">
            <v>NDS  10050484339</v>
          </cell>
          <cell r="G1069" t="str">
            <v>RV Etelsen I</v>
          </cell>
          <cell r="H1069" t="str">
            <v>Winkelmann</v>
          </cell>
          <cell r="I1069" t="str">
            <v>Jesko</v>
          </cell>
          <cell r="J1069" t="str">
            <v>Winkelmann   Jesko</v>
          </cell>
          <cell r="K1069">
            <v>35852</v>
          </cell>
        </row>
        <row r="1070">
          <cell r="D1070">
            <v>10097394448</v>
          </cell>
          <cell r="E1070" t="str">
            <v>NDS</v>
          </cell>
          <cell r="F1070" t="str">
            <v>NDS  10097394448</v>
          </cell>
          <cell r="G1070" t="str">
            <v>RVA Rollshausen II a.K.</v>
          </cell>
          <cell r="H1070" t="str">
            <v>Wippert</v>
          </cell>
          <cell r="I1070" t="str">
            <v>Emily</v>
          </cell>
          <cell r="J1070" t="str">
            <v>Wippert   Emily</v>
          </cell>
          <cell r="K1070">
            <v>38996</v>
          </cell>
        </row>
        <row r="1071">
          <cell r="D1071">
            <v>216444</v>
          </cell>
          <cell r="E1071" t="str">
            <v>RKB</v>
          </cell>
          <cell r="F1071" t="str">
            <v>RKB  216444</v>
          </cell>
          <cell r="G1071" t="str">
            <v>RSV Frellstedt II a.K.</v>
          </cell>
          <cell r="H1071" t="str">
            <v>Wiszinski</v>
          </cell>
          <cell r="I1071" t="str">
            <v>Timm</v>
          </cell>
          <cell r="J1071" t="str">
            <v>Wiszinski   Timm</v>
          </cell>
          <cell r="K1071">
            <v>36943</v>
          </cell>
        </row>
        <row r="1072">
          <cell r="D1072">
            <v>216445</v>
          </cell>
          <cell r="E1072" t="str">
            <v>RKB</v>
          </cell>
          <cell r="F1072" t="str">
            <v>RKB  216445</v>
          </cell>
          <cell r="G1072" t="str">
            <v>RSV Frellstedt I </v>
          </cell>
          <cell r="H1072" t="str">
            <v>Witt</v>
          </cell>
          <cell r="I1072" t="str">
            <v>Emilia</v>
          </cell>
          <cell r="J1072" t="str">
            <v>Witt   Emilia</v>
          </cell>
          <cell r="K1072">
            <v>38838</v>
          </cell>
        </row>
        <row r="1073">
          <cell r="D1073">
            <v>216446</v>
          </cell>
          <cell r="E1073" t="str">
            <v>RKB</v>
          </cell>
          <cell r="F1073" t="str">
            <v>RKB  216446</v>
          </cell>
          <cell r="G1073" t="str">
            <v>RSV Frellstedt I </v>
          </cell>
          <cell r="H1073" t="str">
            <v>Witt</v>
          </cell>
          <cell r="I1073" t="str">
            <v>Joana</v>
          </cell>
          <cell r="J1073" t="str">
            <v>Witt   Joana</v>
          </cell>
          <cell r="K1073">
            <v>38204</v>
          </cell>
        </row>
        <row r="1074">
          <cell r="D1074">
            <v>10050482319</v>
          </cell>
          <cell r="E1074" t="str">
            <v>RKB</v>
          </cell>
          <cell r="F1074" t="str">
            <v>RKB  10050482319</v>
          </cell>
          <cell r="G1074" t="str">
            <v>RSV Halle I</v>
          </cell>
          <cell r="H1074" t="str">
            <v>Witte</v>
          </cell>
          <cell r="I1074" t="str">
            <v>Henning</v>
          </cell>
          <cell r="J1074" t="str">
            <v>Witte   Henning</v>
          </cell>
          <cell r="K1074">
            <v>26564</v>
          </cell>
        </row>
        <row r="1075">
          <cell r="D1075">
            <v>216283</v>
          </cell>
          <cell r="E1075" t="str">
            <v>RKB</v>
          </cell>
          <cell r="F1075" t="str">
            <v>RKB  216283</v>
          </cell>
          <cell r="G1075" t="str">
            <v>RSV Halle I </v>
          </cell>
          <cell r="H1075" t="str">
            <v>Witte</v>
          </cell>
          <cell r="I1075" t="str">
            <v>Josi</v>
          </cell>
          <cell r="J1075" t="str">
            <v>Witte   Josi</v>
          </cell>
          <cell r="K1075">
            <v>36061</v>
          </cell>
        </row>
        <row r="1076">
          <cell r="D1076">
            <v>10050483026</v>
          </cell>
          <cell r="E1076" t="str">
            <v>RKB</v>
          </cell>
          <cell r="F1076" t="str">
            <v>RKB  10050483026</v>
          </cell>
          <cell r="G1076" t="str">
            <v>RSV Halle I </v>
          </cell>
          <cell r="H1076" t="str">
            <v>Witte</v>
          </cell>
          <cell r="I1076" t="str">
            <v>Pia</v>
          </cell>
          <cell r="J1076" t="str">
            <v>Witte   Pia</v>
          </cell>
          <cell r="K1076">
            <v>37658</v>
          </cell>
        </row>
        <row r="1077">
          <cell r="D1077">
            <v>10046175822</v>
          </cell>
          <cell r="E1077" t="str">
            <v>SAH</v>
          </cell>
          <cell r="F1077" t="str">
            <v>SAH  10046175822</v>
          </cell>
          <cell r="G1077" t="str">
            <v>RC Lostau I</v>
          </cell>
          <cell r="H1077" t="str">
            <v>Wittig</v>
          </cell>
          <cell r="I1077" t="str">
            <v>Alina Marie</v>
          </cell>
          <cell r="J1077" t="str">
            <v>Wittig   Alina Marie</v>
          </cell>
          <cell r="K1077">
            <v>37430</v>
          </cell>
        </row>
        <row r="1078">
          <cell r="D1078">
            <v>90306</v>
          </cell>
          <cell r="E1078" t="str">
            <v>NDS</v>
          </cell>
          <cell r="F1078" t="str">
            <v>NDS  90306</v>
          </cell>
          <cell r="G1078" t="str">
            <v>RCG Hahndorf V</v>
          </cell>
          <cell r="H1078" t="str">
            <v>Wittig</v>
          </cell>
          <cell r="I1078" t="str">
            <v>Gernot</v>
          </cell>
          <cell r="J1078" t="str">
            <v>Wittig   Gernot</v>
          </cell>
          <cell r="K1078">
            <v>31414</v>
          </cell>
        </row>
        <row r="1079">
          <cell r="D1079">
            <v>10043832058</v>
          </cell>
          <cell r="E1079" t="str">
            <v>NDS</v>
          </cell>
          <cell r="F1079" t="str">
            <v>NDS  10043832058</v>
          </cell>
          <cell r="G1079" t="str">
            <v>RCG Hahndorf I</v>
          </cell>
          <cell r="H1079" t="str">
            <v>Wittig</v>
          </cell>
          <cell r="I1079" t="str">
            <v>Hagen</v>
          </cell>
          <cell r="J1079" t="str">
            <v>Wittig   Hagen</v>
          </cell>
          <cell r="K1079">
            <v>32729</v>
          </cell>
        </row>
        <row r="1080">
          <cell r="D1080">
            <v>90778</v>
          </cell>
          <cell r="E1080" t="str">
            <v>NDS</v>
          </cell>
          <cell r="F1080" t="str">
            <v>NDS  90778</v>
          </cell>
          <cell r="G1080" t="str">
            <v>RVM Göttingen II</v>
          </cell>
          <cell r="H1080" t="str">
            <v>Wode</v>
          </cell>
          <cell r="I1080" t="str">
            <v>Oliver</v>
          </cell>
          <cell r="J1080" t="str">
            <v>Wode   Oliver</v>
          </cell>
          <cell r="K1080">
            <v>28669</v>
          </cell>
        </row>
        <row r="1081">
          <cell r="D1081">
            <v>215006</v>
          </cell>
          <cell r="E1081" t="str">
            <v>RKB</v>
          </cell>
          <cell r="F1081" t="str">
            <v>RKB  215006</v>
          </cell>
          <cell r="G1081" t="str">
            <v>RSV Bramsche</v>
          </cell>
          <cell r="H1081" t="str">
            <v>Woitalla</v>
          </cell>
          <cell r="I1081" t="str">
            <v>Nino</v>
          </cell>
          <cell r="J1081" t="str">
            <v>Woitalla   Nino</v>
          </cell>
          <cell r="K1081">
            <v>35393</v>
          </cell>
        </row>
        <row r="1082">
          <cell r="D1082">
            <v>215007</v>
          </cell>
          <cell r="E1082" t="str">
            <v>RKB</v>
          </cell>
          <cell r="F1082" t="str">
            <v>RKB  215007</v>
          </cell>
          <cell r="G1082" t="str">
            <v>RSV Bramsche</v>
          </cell>
          <cell r="H1082" t="str">
            <v>Woitalla</v>
          </cell>
          <cell r="I1082" t="str">
            <v>Robin</v>
          </cell>
          <cell r="J1082" t="str">
            <v>Woitalla   Robin</v>
          </cell>
          <cell r="K1082">
            <v>35393</v>
          </cell>
        </row>
        <row r="1083">
          <cell r="D1083">
            <v>216447</v>
          </cell>
          <cell r="E1083" t="str">
            <v>RKB</v>
          </cell>
          <cell r="F1083" t="str">
            <v>RKB  216447</v>
          </cell>
          <cell r="G1083" t="str">
            <v>RSV Frellstedt I </v>
          </cell>
          <cell r="H1083" t="str">
            <v>Wolff</v>
          </cell>
          <cell r="I1083" t="str">
            <v>Moesha</v>
          </cell>
          <cell r="J1083" t="str">
            <v>Wolff   Moesha</v>
          </cell>
          <cell r="K1083">
            <v>37896</v>
          </cell>
        </row>
        <row r="1084">
          <cell r="D1084">
            <v>92643</v>
          </cell>
          <cell r="E1084" t="str">
            <v>NDS</v>
          </cell>
          <cell r="F1084" t="str">
            <v>NDS  92643</v>
          </cell>
          <cell r="G1084" t="str">
            <v>RVS Obernfeld II</v>
          </cell>
          <cell r="H1084" t="str">
            <v>Wolff</v>
          </cell>
          <cell r="I1084" t="str">
            <v>Sarah-Lorraine</v>
          </cell>
          <cell r="J1084" t="str">
            <v>Wolff   Sarah-Lorraine</v>
          </cell>
          <cell r="K1084">
            <v>32945</v>
          </cell>
        </row>
        <row r="1085">
          <cell r="D1085">
            <v>90844</v>
          </cell>
          <cell r="E1085" t="str">
            <v>NDS</v>
          </cell>
          <cell r="F1085" t="str">
            <v>NDS  90844</v>
          </cell>
          <cell r="G1085" t="str">
            <v>RV Etelsen</v>
          </cell>
          <cell r="H1085" t="str">
            <v>Wolkenhauer</v>
          </cell>
          <cell r="I1085" t="str">
            <v>Doris</v>
          </cell>
          <cell r="J1085" t="str">
            <v>Wolkenhauer   Doris</v>
          </cell>
          <cell r="K1085">
            <v>27564</v>
          </cell>
        </row>
        <row r="1086">
          <cell r="D1086">
            <v>10079580602</v>
          </cell>
          <cell r="E1086" t="str">
            <v>BRA</v>
          </cell>
          <cell r="F1086" t="str">
            <v>BRA  10079580602</v>
          </cell>
          <cell r="G1086" t="str">
            <v>RSV Großkoschen</v>
          </cell>
          <cell r="H1086" t="str">
            <v>Wolschke</v>
          </cell>
          <cell r="I1086" t="str">
            <v>Willi</v>
          </cell>
          <cell r="J1086" t="str">
            <v>Wolschke   Willi</v>
          </cell>
          <cell r="K1086">
            <v>40035</v>
          </cell>
        </row>
        <row r="1087">
          <cell r="D1087">
            <v>215117</v>
          </cell>
          <cell r="E1087" t="str">
            <v>RKB</v>
          </cell>
          <cell r="F1087" t="str">
            <v>RKB  215117</v>
          </cell>
          <cell r="G1087" t="str">
            <v>RSV Halle II</v>
          </cell>
          <cell r="H1087" t="str">
            <v>Wolting</v>
          </cell>
          <cell r="I1087" t="str">
            <v>Calvin</v>
          </cell>
          <cell r="J1087" t="str">
            <v>Wolting   Calvin</v>
          </cell>
          <cell r="K1087">
            <v>35068</v>
          </cell>
        </row>
        <row r="1088">
          <cell r="D1088">
            <v>10036398727</v>
          </cell>
          <cell r="E1088" t="str">
            <v>NDS</v>
          </cell>
          <cell r="F1088" t="str">
            <v>NDS  10036398727</v>
          </cell>
          <cell r="G1088" t="str">
            <v>RVM Bilshausen II</v>
          </cell>
          <cell r="H1088" t="str">
            <v>Woop</v>
          </cell>
          <cell r="I1088" t="str">
            <v>Jonas</v>
          </cell>
          <cell r="J1088" t="str">
            <v>Woop   Jonas</v>
          </cell>
          <cell r="K1088">
            <v>38852</v>
          </cell>
        </row>
        <row r="1089">
          <cell r="D1089">
            <v>609714</v>
          </cell>
          <cell r="E1089" t="str">
            <v>NRW</v>
          </cell>
          <cell r="F1089" t="str">
            <v>NRW  609714</v>
          </cell>
          <cell r="G1089" t="str">
            <v>RSV Münster III</v>
          </cell>
          <cell r="H1089" t="str">
            <v>Wosnitza</v>
          </cell>
          <cell r="I1089" t="str">
            <v>Jakob</v>
          </cell>
          <cell r="J1089" t="str">
            <v>Wosnitza   Jakob</v>
          </cell>
          <cell r="K1089">
            <v>37030</v>
          </cell>
        </row>
        <row r="1090">
          <cell r="D1090">
            <v>90760</v>
          </cell>
          <cell r="E1090" t="str">
            <v>NDS</v>
          </cell>
          <cell r="F1090" t="str">
            <v>NDS  90760</v>
          </cell>
          <cell r="G1090" t="str">
            <v>RVT Aschendorf IV</v>
          </cell>
          <cell r="H1090" t="str">
            <v>Wübben</v>
          </cell>
          <cell r="I1090" t="str">
            <v>Markus</v>
          </cell>
          <cell r="J1090" t="str">
            <v>Wübben   Markus</v>
          </cell>
          <cell r="K1090">
            <v>28584</v>
          </cell>
        </row>
        <row r="1091">
          <cell r="D1091">
            <v>95082</v>
          </cell>
          <cell r="E1091" t="str">
            <v>NDS</v>
          </cell>
          <cell r="F1091" t="str">
            <v>NDS  95082</v>
          </cell>
          <cell r="G1091" t="str">
            <v>RVS Obernfeld</v>
          </cell>
          <cell r="H1091" t="str">
            <v>Wucherpfennig</v>
          </cell>
          <cell r="I1091" t="str">
            <v>Marco</v>
          </cell>
          <cell r="J1091" t="str">
            <v>Wucherpfennig   Marco</v>
          </cell>
          <cell r="K1091">
            <v>36835</v>
          </cell>
        </row>
        <row r="1092">
          <cell r="D1092">
            <v>90969</v>
          </cell>
          <cell r="E1092" t="str">
            <v>NDS</v>
          </cell>
          <cell r="F1092" t="str">
            <v>NDS  90969</v>
          </cell>
          <cell r="G1092" t="str">
            <v>RVS Obernfeld IV</v>
          </cell>
          <cell r="H1092" t="str">
            <v>Wüstefeld</v>
          </cell>
          <cell r="I1092" t="str">
            <v>Christian</v>
          </cell>
          <cell r="J1092" t="str">
            <v>Wüstefeld   Christian</v>
          </cell>
          <cell r="K1092">
            <v>30148</v>
          </cell>
        </row>
        <row r="1093">
          <cell r="D1093">
            <v>10135862224</v>
          </cell>
          <cell r="E1093" t="str">
            <v>NDS</v>
          </cell>
          <cell r="F1093" t="str">
            <v>NDS  10135862224</v>
          </cell>
          <cell r="G1093" t="str">
            <v>RVS Obernfeld I</v>
          </cell>
          <cell r="H1093" t="str">
            <v>Wüstefeld</v>
          </cell>
          <cell r="I1093" t="str">
            <v>Jakob</v>
          </cell>
          <cell r="J1093" t="str">
            <v>Wüstefeld   Jakob</v>
          </cell>
          <cell r="K1093">
            <v>41860</v>
          </cell>
        </row>
        <row r="1094">
          <cell r="D1094">
            <v>93261</v>
          </cell>
          <cell r="E1094" t="str">
            <v>NDS</v>
          </cell>
          <cell r="F1094" t="str">
            <v>NDS  93261</v>
          </cell>
          <cell r="G1094" t="str">
            <v>RVM Bilshausen II</v>
          </cell>
          <cell r="H1094" t="str">
            <v>Wüstefeld</v>
          </cell>
          <cell r="I1094" t="str">
            <v>Mario</v>
          </cell>
          <cell r="J1094" t="str">
            <v>Wüstefeld   Mario</v>
          </cell>
          <cell r="K1094">
            <v>31142</v>
          </cell>
        </row>
        <row r="1095">
          <cell r="D1095">
            <v>93772</v>
          </cell>
          <cell r="E1095" t="str">
            <v>NDS</v>
          </cell>
          <cell r="F1095" t="str">
            <v>NDS  93772</v>
          </cell>
          <cell r="G1095" t="str">
            <v>RVS Obernfeld II</v>
          </cell>
          <cell r="H1095" t="str">
            <v>Wüstefeld</v>
          </cell>
          <cell r="I1095" t="str">
            <v>Michel</v>
          </cell>
          <cell r="J1095" t="str">
            <v>Wüstefeld   Michel</v>
          </cell>
          <cell r="K1095">
            <v>34668</v>
          </cell>
        </row>
        <row r="1096">
          <cell r="D1096">
            <v>93771</v>
          </cell>
          <cell r="E1096" t="str">
            <v>NDS</v>
          </cell>
          <cell r="F1096" t="str">
            <v>NDS  93771</v>
          </cell>
          <cell r="G1096" t="str">
            <v>RVS Obernfeld II</v>
          </cell>
          <cell r="H1096" t="str">
            <v>Wüstefeld</v>
          </cell>
          <cell r="I1096" t="str">
            <v>Simon</v>
          </cell>
          <cell r="J1096" t="str">
            <v>Wüstefeld   Simon</v>
          </cell>
          <cell r="K1096">
            <v>34984</v>
          </cell>
        </row>
        <row r="1097">
          <cell r="D1097">
            <v>10046113780</v>
          </cell>
          <cell r="E1097" t="str">
            <v>HES</v>
          </cell>
          <cell r="F1097" t="str">
            <v>HES  10046113780</v>
          </cell>
          <cell r="G1097" t="str">
            <v>SV Da.- Eberstadt</v>
          </cell>
          <cell r="H1097" t="str">
            <v>Zall</v>
          </cell>
          <cell r="I1097" t="str">
            <v>Yannis</v>
          </cell>
          <cell r="J1097" t="str">
            <v>Zall   Yannis</v>
          </cell>
          <cell r="K1097">
            <v>38150</v>
          </cell>
        </row>
        <row r="1098">
          <cell r="D1098">
            <v>10108150334</v>
          </cell>
          <cell r="E1098" t="str">
            <v>NRW</v>
          </cell>
          <cell r="F1098" t="str">
            <v>NRW  10108150334</v>
          </cell>
          <cell r="G1098" t="str">
            <v>SG Suderwich I</v>
          </cell>
          <cell r="H1098" t="str">
            <v>Zander</v>
          </cell>
          <cell r="I1098" t="str">
            <v>Lukas</v>
          </cell>
          <cell r="J1098" t="str">
            <v>Zander   Lukas</v>
          </cell>
          <cell r="K1098">
            <v>40721</v>
          </cell>
        </row>
        <row r="1099">
          <cell r="D1099">
            <v>10043801140</v>
          </cell>
          <cell r="E1099" t="str">
            <v>NDS</v>
          </cell>
          <cell r="F1099" t="str">
            <v>NDS  10043801140</v>
          </cell>
          <cell r="G1099" t="str">
            <v>RCG Hahndorf III</v>
          </cell>
          <cell r="H1099" t="str">
            <v>Zenk</v>
          </cell>
          <cell r="I1099" t="str">
            <v>Maurice</v>
          </cell>
          <cell r="J1099" t="str">
            <v>Zenk   Maurice</v>
          </cell>
          <cell r="K1099">
            <v>38241</v>
          </cell>
        </row>
        <row r="1100">
          <cell r="D1100">
            <v>90262</v>
          </cell>
          <cell r="E1100" t="str">
            <v>NDS</v>
          </cell>
          <cell r="F1100" t="str">
            <v>NDS  90262</v>
          </cell>
          <cell r="G1100" t="str">
            <v>RCBG Langenhagen II</v>
          </cell>
          <cell r="H1100" t="str">
            <v>Zierow</v>
          </cell>
          <cell r="I1100" t="str">
            <v>Bettina</v>
          </cell>
          <cell r="J1100" t="str">
            <v>Zierow   Bettina</v>
          </cell>
          <cell r="K1100">
            <v>27206</v>
          </cell>
        </row>
        <row r="1101">
          <cell r="D1101">
            <v>10090010063</v>
          </cell>
          <cell r="E1101" t="str">
            <v>BRE</v>
          </cell>
          <cell r="F1101" t="str">
            <v>BRE  10090010063</v>
          </cell>
          <cell r="G1101" t="str">
            <v>RTSW Bremen</v>
          </cell>
          <cell r="H1101" t="str">
            <v>Zimmermann</v>
          </cell>
          <cell r="I1101" t="str">
            <v>Christopher</v>
          </cell>
          <cell r="J1101" t="str">
            <v>Zimmermann   Christopher</v>
          </cell>
          <cell r="K1101">
            <v>32174</v>
          </cell>
        </row>
        <row r="1102">
          <cell r="D1102">
            <v>93427</v>
          </cell>
          <cell r="E1102" t="str">
            <v>NDS</v>
          </cell>
          <cell r="F1102" t="str">
            <v>NDS  93427</v>
          </cell>
          <cell r="G1102" t="str">
            <v>RVM Bilshausen</v>
          </cell>
          <cell r="H1102" t="str">
            <v>Zimmermann</v>
          </cell>
          <cell r="I1102" t="str">
            <v>Florian</v>
          </cell>
          <cell r="J1102" t="str">
            <v>Zimmermann   Florian</v>
          </cell>
          <cell r="K1102">
            <v>33934</v>
          </cell>
        </row>
        <row r="1103">
          <cell r="D1103">
            <v>10036474711</v>
          </cell>
          <cell r="E1103" t="str">
            <v>NRW</v>
          </cell>
          <cell r="F1103" t="str">
            <v>NRW  10036474711</v>
          </cell>
          <cell r="G1103" t="str">
            <v>SG Suderwich I</v>
          </cell>
          <cell r="H1103" t="str">
            <v>Zimmermann</v>
          </cell>
          <cell r="I1103" t="str">
            <v>Leander</v>
          </cell>
          <cell r="J1103" t="str">
            <v>Zimmermann   Leander</v>
          </cell>
          <cell r="K1103">
            <v>39341</v>
          </cell>
        </row>
        <row r="1104">
          <cell r="D1104">
            <v>10036486633</v>
          </cell>
          <cell r="E1104" t="str">
            <v>NRW</v>
          </cell>
          <cell r="F1104" t="str">
            <v>NRW  10036486633</v>
          </cell>
          <cell r="G1104" t="str">
            <v>SG Suderwich I</v>
          </cell>
          <cell r="H1104" t="str">
            <v>Zimmermann</v>
          </cell>
          <cell r="I1104" t="str">
            <v>Luca </v>
          </cell>
          <cell r="J1104" t="str">
            <v>Zimmermann   Luca </v>
          </cell>
          <cell r="K1104">
            <v>37824</v>
          </cell>
        </row>
        <row r="1105">
          <cell r="D1105">
            <v>10073597520</v>
          </cell>
          <cell r="E1105" t="str">
            <v>BRA</v>
          </cell>
          <cell r="F1105" t="str">
            <v>BRA  10073597520</v>
          </cell>
          <cell r="G1105" t="str">
            <v>SGS Luckenwalde</v>
          </cell>
          <cell r="H1105" t="str">
            <v>Zimmermann</v>
          </cell>
          <cell r="I1105" t="str">
            <v>Lucas</v>
          </cell>
          <cell r="J1105" t="str">
            <v>Zimmermann   Lucas</v>
          </cell>
          <cell r="K1105">
            <v>39636</v>
          </cell>
        </row>
        <row r="1106">
          <cell r="D1106">
            <v>10046181377</v>
          </cell>
          <cell r="E1106" t="str">
            <v>SAH</v>
          </cell>
          <cell r="F1106" t="str">
            <v>SAH  10046181377</v>
          </cell>
          <cell r="G1106" t="str">
            <v>SV Magdeburg</v>
          </cell>
          <cell r="H1106" t="str">
            <v>Zufelde</v>
          </cell>
          <cell r="I1106" t="str">
            <v>Aron</v>
          </cell>
          <cell r="J1106" t="str">
            <v>Zufelde   Aron</v>
          </cell>
          <cell r="K1106">
            <v>37417</v>
          </cell>
        </row>
        <row r="1107">
          <cell r="D1107">
            <v>10051090082</v>
          </cell>
          <cell r="E1107" t="str">
            <v>BRE</v>
          </cell>
          <cell r="F1107" t="str">
            <v>BRE  10051090082</v>
          </cell>
          <cell r="G1107" t="str">
            <v>RVS Oberneuland</v>
          </cell>
          <cell r="H1107" t="str">
            <v>Zumm</v>
          </cell>
          <cell r="I1107" t="str">
            <v>Carsten</v>
          </cell>
          <cell r="J1107" t="str">
            <v>Zumm   Carsten</v>
          </cell>
          <cell r="K1107">
            <v>25700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1:AY53"/>
  <sheetViews>
    <sheetView zoomScale="88" zoomScaleNormal="88" zoomScalePageLayoutView="0" workbookViewId="0" topLeftCell="A1">
      <selection activeCell="BA11" sqref="BA11"/>
    </sheetView>
  </sheetViews>
  <sheetFormatPr defaultColWidth="11.421875" defaultRowHeight="12.75"/>
  <cols>
    <col min="1" max="1" width="4.7109375" style="143" customWidth="1"/>
    <col min="2" max="2" width="3.7109375" style="143" customWidth="1"/>
    <col min="3" max="3" width="2.00390625" style="143" customWidth="1"/>
    <col min="4" max="4" width="3.421875" style="143" customWidth="1"/>
    <col min="5" max="5" width="1.57421875" style="143" customWidth="1"/>
    <col min="6" max="6" width="2.7109375" style="143" customWidth="1"/>
    <col min="7" max="7" width="4.57421875" style="143" customWidth="1"/>
    <col min="8" max="8" width="2.7109375" style="143" customWidth="1"/>
    <col min="9" max="9" width="4.00390625" style="143" customWidth="1"/>
    <col min="10" max="10" width="8.28125" style="143" customWidth="1"/>
    <col min="11" max="11" width="2.140625" style="143" customWidth="1"/>
    <col min="12" max="12" width="1.8515625" style="143" customWidth="1"/>
    <col min="13" max="13" width="2.7109375" style="143" customWidth="1"/>
    <col min="14" max="14" width="5.57421875" style="143" customWidth="1"/>
    <col min="15" max="15" width="9.57421875" style="143" customWidth="1"/>
    <col min="16" max="16" width="2.28125" style="143" customWidth="1"/>
    <col min="17" max="17" width="1.421875" style="143" customWidth="1"/>
    <col min="18" max="18" width="2.57421875" style="143" customWidth="1"/>
    <col min="19" max="19" width="1.8515625" style="143" hidden="1" customWidth="1"/>
    <col min="20" max="20" width="2.8515625" style="143" customWidth="1"/>
    <col min="21" max="22" width="2.00390625" style="143" customWidth="1"/>
    <col min="23" max="23" width="3.421875" style="143" customWidth="1"/>
    <col min="24" max="24" width="10.00390625" style="143" customWidth="1"/>
    <col min="25" max="25" width="2.28125" style="143" customWidth="1"/>
    <col min="26" max="26" width="1.8515625" style="143" customWidth="1"/>
    <col min="27" max="27" width="4.57421875" style="143" customWidth="1"/>
    <col min="28" max="28" width="3.28125" style="143" customWidth="1"/>
    <col min="29" max="29" width="4.00390625" style="143" customWidth="1"/>
    <col min="30" max="30" width="1.28515625" style="143" customWidth="1"/>
    <col min="31" max="31" width="4.00390625" style="143" customWidth="1"/>
    <col min="32" max="32" width="4.421875" style="143" customWidth="1"/>
    <col min="33" max="33" width="1.57421875" style="143" customWidth="1"/>
    <col min="34" max="34" width="5.7109375" style="143" customWidth="1"/>
    <col min="35" max="35" width="1.57421875" style="143" customWidth="1"/>
    <col min="36" max="36" width="2.140625" style="143" customWidth="1"/>
    <col min="37" max="37" width="3.00390625" style="143" customWidth="1"/>
    <col min="38" max="45" width="2.7109375" style="143" customWidth="1"/>
    <col min="46" max="46" width="6.00390625" style="143" customWidth="1"/>
    <col min="47" max="62" width="2.7109375" style="143" customWidth="1"/>
    <col min="63" max="16384" width="11.421875" style="143" customWidth="1"/>
  </cols>
  <sheetData>
    <row r="1" spans="40:51" ht="12.75"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</row>
    <row r="2" spans="40:51" ht="9.75" customHeight="1">
      <c r="AN2" s="162"/>
      <c r="AY2" s="162"/>
    </row>
    <row r="3" spans="4:51" ht="15" customHeight="1">
      <c r="D3" s="386" t="s">
        <v>157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237"/>
      <c r="AE3" s="238" t="s">
        <v>158</v>
      </c>
      <c r="AF3" s="239"/>
      <c r="AG3" s="239"/>
      <c r="AH3" s="239"/>
      <c r="AI3" s="239"/>
      <c r="AJ3" s="239"/>
      <c r="AK3" s="240"/>
      <c r="AL3" s="241">
        <f>Optionen!P9</f>
        <v>3</v>
      </c>
      <c r="AN3" s="162"/>
      <c r="AY3" s="162"/>
    </row>
    <row r="4" spans="4:51" ht="15" customHeight="1"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237"/>
      <c r="AE4" s="238" t="s">
        <v>160</v>
      </c>
      <c r="AF4" s="239"/>
      <c r="AG4" s="239"/>
      <c r="AH4" s="239"/>
      <c r="AI4" s="239"/>
      <c r="AJ4" s="239"/>
      <c r="AK4" s="240"/>
      <c r="AL4" s="240"/>
      <c r="AN4" s="162"/>
      <c r="AY4" s="162"/>
    </row>
    <row r="5" spans="4:51" ht="6.75" customHeight="1"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N5" s="162"/>
      <c r="AY5" s="162"/>
    </row>
    <row r="6" spans="4:51" ht="18" customHeight="1">
      <c r="D6" s="242"/>
      <c r="E6" s="242"/>
      <c r="F6" s="242"/>
      <c r="G6" s="243"/>
      <c r="H6" s="243"/>
      <c r="I6" s="243"/>
      <c r="J6" s="244"/>
      <c r="K6" s="244"/>
      <c r="L6" s="244"/>
      <c r="M6" s="244"/>
      <c r="N6" s="244"/>
      <c r="O6" s="388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164"/>
      <c r="AN6" s="165"/>
      <c r="AY6" s="162"/>
    </row>
    <row r="7" spans="4:51" s="166" customFormat="1" ht="18" customHeight="1">
      <c r="D7" s="238" t="s">
        <v>170</v>
      </c>
      <c r="E7" s="238"/>
      <c r="F7" s="238" t="s">
        <v>174</v>
      </c>
      <c r="G7" s="245"/>
      <c r="H7" s="245"/>
      <c r="I7" s="245"/>
      <c r="J7" s="246"/>
      <c r="K7" s="246"/>
      <c r="L7" s="246"/>
      <c r="M7" s="246"/>
      <c r="N7" s="246"/>
      <c r="O7" s="247"/>
      <c r="P7" s="248"/>
      <c r="Q7" s="248"/>
      <c r="R7" s="248"/>
      <c r="S7" s="248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168"/>
      <c r="AN7" s="169"/>
      <c r="AY7" s="170"/>
    </row>
    <row r="8" spans="4:50" s="166" customFormat="1" ht="16.5" customHeight="1">
      <c r="D8" s="377" t="s">
        <v>175</v>
      </c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250"/>
      <c r="U8" s="250"/>
      <c r="V8" s="251"/>
      <c r="W8" s="252" t="s">
        <v>179</v>
      </c>
      <c r="X8" s="250"/>
      <c r="Y8" s="252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167"/>
      <c r="AN8" s="167"/>
      <c r="AO8" s="167"/>
      <c r="AP8" s="167"/>
      <c r="AU8" s="170"/>
      <c r="AV8" s="171"/>
      <c r="AW8" s="171"/>
      <c r="AX8" s="170"/>
    </row>
    <row r="9" spans="4:50" s="166" customFormat="1" ht="16.5" customHeight="1">
      <c r="D9" s="253" t="s">
        <v>176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5"/>
      <c r="Q9" s="255"/>
      <c r="R9" s="254"/>
      <c r="S9" s="254"/>
      <c r="T9" s="254"/>
      <c r="U9" s="254"/>
      <c r="V9" s="254"/>
      <c r="W9" s="253" t="s">
        <v>180</v>
      </c>
      <c r="X9" s="254"/>
      <c r="Y9" s="254"/>
      <c r="Z9" s="254"/>
      <c r="AA9" s="254"/>
      <c r="AB9" s="254"/>
      <c r="AC9" s="254"/>
      <c r="AD9" s="254"/>
      <c r="AE9" s="254"/>
      <c r="AF9" s="254"/>
      <c r="AG9" s="253"/>
      <c r="AH9" s="253"/>
      <c r="AI9" s="253"/>
      <c r="AJ9" s="253"/>
      <c r="AK9" s="253"/>
      <c r="AL9" s="253"/>
      <c r="AM9" s="167"/>
      <c r="AN9" s="167"/>
      <c r="AO9" s="167"/>
      <c r="AP9" s="167"/>
      <c r="AU9" s="170"/>
      <c r="AV9" s="171"/>
      <c r="AW9" s="171"/>
      <c r="AX9" s="170"/>
    </row>
    <row r="10" spans="4:50" s="166" customFormat="1" ht="16.5" customHeight="1">
      <c r="D10" s="253" t="s">
        <v>177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5"/>
      <c r="Q10" s="255"/>
      <c r="R10" s="254"/>
      <c r="S10" s="254"/>
      <c r="T10" s="254"/>
      <c r="U10" s="254"/>
      <c r="V10" s="254"/>
      <c r="W10" s="253" t="s">
        <v>174</v>
      </c>
      <c r="X10" s="254"/>
      <c r="Y10" s="254"/>
      <c r="Z10" s="254"/>
      <c r="AA10" s="254"/>
      <c r="AB10" s="254"/>
      <c r="AC10" s="254"/>
      <c r="AD10" s="254"/>
      <c r="AE10" s="254"/>
      <c r="AF10" s="254"/>
      <c r="AG10" s="253"/>
      <c r="AH10" s="253"/>
      <c r="AI10" s="253"/>
      <c r="AJ10" s="253"/>
      <c r="AK10" s="253"/>
      <c r="AL10" s="253"/>
      <c r="AM10" s="167"/>
      <c r="AN10" s="167"/>
      <c r="AO10" s="167"/>
      <c r="AP10" s="167"/>
      <c r="AU10" s="170"/>
      <c r="AV10" s="171"/>
      <c r="AW10" s="171"/>
      <c r="AX10" s="170"/>
    </row>
    <row r="11" spans="4:50" s="166" customFormat="1" ht="16.5" customHeight="1">
      <c r="D11" s="253" t="s">
        <v>178</v>
      </c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3" t="s">
        <v>172</v>
      </c>
      <c r="X11" s="254"/>
      <c r="Y11" s="254"/>
      <c r="Z11" s="254"/>
      <c r="AA11" s="254"/>
      <c r="AB11" s="254"/>
      <c r="AC11" s="254"/>
      <c r="AD11" s="254"/>
      <c r="AE11" s="254"/>
      <c r="AF11" s="254"/>
      <c r="AG11" s="253"/>
      <c r="AH11" s="253"/>
      <c r="AI11" s="253"/>
      <c r="AJ11" s="253"/>
      <c r="AK11" s="253"/>
      <c r="AL11" s="253"/>
      <c r="AM11" s="167"/>
      <c r="AN11" s="167"/>
      <c r="AO11" s="167"/>
      <c r="AP11" s="167"/>
      <c r="AU11" s="170"/>
      <c r="AV11" s="171"/>
      <c r="AW11" s="171"/>
      <c r="AX11" s="170"/>
    </row>
    <row r="12" spans="4:42" s="166" customFormat="1" ht="14.25" customHeight="1"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256"/>
      <c r="AG12" s="256"/>
      <c r="AH12" s="256"/>
      <c r="AI12" s="256"/>
      <c r="AJ12" s="256"/>
      <c r="AK12" s="257"/>
      <c r="AL12" s="258"/>
      <c r="AO12" s="168"/>
      <c r="AP12" s="172"/>
    </row>
    <row r="13" spans="4:38" s="166" customFormat="1" ht="18.75" customHeight="1" thickBot="1">
      <c r="D13" s="378" t="s">
        <v>181</v>
      </c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82" t="s">
        <v>194</v>
      </c>
      <c r="U13" s="382"/>
      <c r="V13" s="382"/>
      <c r="W13" s="382"/>
      <c r="X13" s="382"/>
      <c r="Y13" s="382"/>
      <c r="Z13" s="382"/>
      <c r="AA13" s="382"/>
      <c r="AB13" s="382"/>
      <c r="AC13" s="382" t="s">
        <v>156</v>
      </c>
      <c r="AD13" s="382"/>
      <c r="AE13" s="382"/>
      <c r="AF13" s="256" t="s">
        <v>163</v>
      </c>
      <c r="AG13" s="256"/>
      <c r="AH13" s="256" t="s">
        <v>84</v>
      </c>
      <c r="AI13" s="256"/>
      <c r="AJ13" s="256"/>
      <c r="AK13" s="257"/>
      <c r="AL13" s="258"/>
    </row>
    <row r="14" spans="4:46" ht="15" customHeight="1" thickBot="1">
      <c r="D14" s="401" t="s">
        <v>45</v>
      </c>
      <c r="E14" s="402"/>
      <c r="F14" s="402"/>
      <c r="G14" s="402"/>
      <c r="H14" s="402"/>
      <c r="I14" s="402"/>
      <c r="J14" s="403"/>
      <c r="K14" s="401" t="s">
        <v>46</v>
      </c>
      <c r="L14" s="402"/>
      <c r="M14" s="402"/>
      <c r="N14" s="402"/>
      <c r="O14" s="402"/>
      <c r="P14" s="402"/>
      <c r="Q14" s="402"/>
      <c r="R14" s="402"/>
      <c r="S14" s="404"/>
      <c r="T14" s="383" t="s">
        <v>171</v>
      </c>
      <c r="U14" s="384"/>
      <c r="V14" s="384"/>
      <c r="W14" s="384"/>
      <c r="X14" s="385"/>
      <c r="Y14" s="383" t="s">
        <v>47</v>
      </c>
      <c r="Z14" s="384"/>
      <c r="AA14" s="384"/>
      <c r="AB14" s="385"/>
      <c r="AC14" s="373" t="s">
        <v>10</v>
      </c>
      <c r="AD14" s="374"/>
      <c r="AE14" s="374"/>
      <c r="AF14" s="373" t="s">
        <v>9</v>
      </c>
      <c r="AG14" s="374"/>
      <c r="AH14" s="375"/>
      <c r="AI14" s="373" t="s">
        <v>11</v>
      </c>
      <c r="AJ14" s="374"/>
      <c r="AK14" s="375"/>
      <c r="AL14" s="142"/>
      <c r="AM14" s="142"/>
      <c r="AN14" s="142"/>
      <c r="AO14" s="142"/>
      <c r="AP14" s="373" t="s">
        <v>70</v>
      </c>
      <c r="AQ14" s="374"/>
      <c r="AR14" s="374"/>
      <c r="AS14" s="374"/>
      <c r="AT14" s="375"/>
    </row>
    <row r="15" spans="3:46" ht="15" customHeight="1">
      <c r="C15" s="173" t="str">
        <f>IF(ISNUMBER(AP15),VLOOKUP(AP15,'[1]Lizenzen'!$D$8:$K$2836,4,FALSE),"")</f>
        <v>RVS Obernfeld I</v>
      </c>
      <c r="D15" s="393" t="str">
        <f>IF(C16="x",0,IF(C15=C16,C15,"Zugehörigkeit"))</f>
        <v>RVS Obernfeld I</v>
      </c>
      <c r="E15" s="394"/>
      <c r="F15" s="394"/>
      <c r="G15" s="394"/>
      <c r="H15" s="394"/>
      <c r="I15" s="394"/>
      <c r="J15" s="395"/>
      <c r="K15" s="399" t="str">
        <f>IF(ISNUMBER(AP15),VLOOKUP(AP15,'[1]Lizenzen'!$D$8:$K$2836,7,FALSE),"")</f>
        <v>Bock   Moritz</v>
      </c>
      <c r="L15" s="400"/>
      <c r="M15" s="400"/>
      <c r="N15" s="400"/>
      <c r="O15" s="400"/>
      <c r="P15" s="400"/>
      <c r="Q15" s="400"/>
      <c r="R15" s="400"/>
      <c r="S15" s="400"/>
      <c r="T15" s="390"/>
      <c r="U15" s="391"/>
      <c r="V15" s="391"/>
      <c r="W15" s="391"/>
      <c r="X15" s="392"/>
      <c r="Y15" s="405"/>
      <c r="Z15" s="405"/>
      <c r="AA15" s="405"/>
      <c r="AB15" s="405"/>
      <c r="AC15" s="379" t="str">
        <f>REPT('RB Lizene Nr.- Eingabe'!AA52,1)</f>
        <v>12</v>
      </c>
      <c r="AD15" s="380"/>
      <c r="AE15" s="381"/>
      <c r="AF15" s="376" t="str">
        <f>REPT('RB Lizene Nr.- Eingabe'!Y52,1)</f>
        <v>20</v>
      </c>
      <c r="AG15" s="411" t="s">
        <v>14</v>
      </c>
      <c r="AH15" s="412" t="str">
        <f>REPT('RB Lizene Nr.- Eingabe'!Z52,1)</f>
        <v>3</v>
      </c>
      <c r="AI15" s="413" t="str">
        <f>REPT('RB Lizene Nr.- Eingabe'!L52,1)</f>
        <v>1</v>
      </c>
      <c r="AJ15" s="414"/>
      <c r="AK15" s="415"/>
      <c r="AL15" s="147"/>
      <c r="AM15" s="147"/>
      <c r="AN15" s="147"/>
      <c r="AO15" s="147"/>
      <c r="AP15" s="300">
        <v>10127479404</v>
      </c>
      <c r="AQ15" s="301"/>
      <c r="AR15" s="301"/>
      <c r="AS15" s="301"/>
      <c r="AT15" s="302"/>
    </row>
    <row r="16" spans="3:46" ht="15" customHeight="1" thickBot="1">
      <c r="C16" s="173" t="str">
        <f>IF(ISNUMBER(AP16),VLOOKUP(AP16,'[1]Lizenzen'!$D$8:$K$2836,4,FALSE),"x")</f>
        <v>RVS Obernfeld I</v>
      </c>
      <c r="D16" s="396"/>
      <c r="E16" s="397"/>
      <c r="F16" s="397"/>
      <c r="G16" s="397"/>
      <c r="H16" s="397"/>
      <c r="I16" s="397"/>
      <c r="J16" s="398"/>
      <c r="K16" s="346" t="str">
        <f>IF(ISNUMBER(AP16),VLOOKUP(AP16,'[1]Lizenzen'!$D$8:$K$2836,7,FALSE),"")</f>
        <v>Wüstefeld   Jakob</v>
      </c>
      <c r="L16" s="347"/>
      <c r="M16" s="347"/>
      <c r="N16" s="347"/>
      <c r="O16" s="347"/>
      <c r="P16" s="347"/>
      <c r="Q16" s="347"/>
      <c r="R16" s="347"/>
      <c r="S16" s="347"/>
      <c r="T16" s="311"/>
      <c r="U16" s="312"/>
      <c r="V16" s="312"/>
      <c r="W16" s="312"/>
      <c r="X16" s="313"/>
      <c r="Y16" s="358"/>
      <c r="Z16" s="358"/>
      <c r="AA16" s="358"/>
      <c r="AB16" s="358"/>
      <c r="AC16" s="366"/>
      <c r="AD16" s="367"/>
      <c r="AE16" s="368"/>
      <c r="AF16" s="360"/>
      <c r="AG16" s="343"/>
      <c r="AH16" s="351"/>
      <c r="AI16" s="372"/>
      <c r="AJ16" s="370"/>
      <c r="AK16" s="371"/>
      <c r="AL16" s="147"/>
      <c r="AM16" s="147"/>
      <c r="AN16" s="147"/>
      <c r="AO16" s="147"/>
      <c r="AP16" s="340">
        <v>10135862224</v>
      </c>
      <c r="AQ16" s="341"/>
      <c r="AR16" s="341"/>
      <c r="AS16" s="341"/>
      <c r="AT16" s="342"/>
    </row>
    <row r="17" spans="3:46" ht="15" customHeight="1">
      <c r="C17" s="173" t="str">
        <f>IF(ISNUMBER(AP17),VLOOKUP(AP17,'[1]Lizenzen'!$D$8:$K$2838,4,FALSE),"")</f>
        <v>RVM Bilshausen II</v>
      </c>
      <c r="D17" s="327" t="str">
        <f>IF(C18="x",0,IF(C17=C18,C17,"Zugehörigkeit"))</f>
        <v>RVM Bilshausen II</v>
      </c>
      <c r="E17" s="328"/>
      <c r="F17" s="328"/>
      <c r="G17" s="328"/>
      <c r="H17" s="328"/>
      <c r="I17" s="328"/>
      <c r="J17" s="329"/>
      <c r="K17" s="333" t="str">
        <f>IF(ISNUMBER(AP17),VLOOKUP(AP17,'[1]Lizenzen'!$D$8:$K$2836,7,FALSE),"")</f>
        <v>Sieg   Richard</v>
      </c>
      <c r="L17" s="334"/>
      <c r="M17" s="334"/>
      <c r="N17" s="334"/>
      <c r="O17" s="334"/>
      <c r="P17" s="334"/>
      <c r="Q17" s="334"/>
      <c r="R17" s="334"/>
      <c r="S17" s="334"/>
      <c r="T17" s="311"/>
      <c r="U17" s="312"/>
      <c r="V17" s="312"/>
      <c r="W17" s="312"/>
      <c r="X17" s="313"/>
      <c r="Y17" s="303"/>
      <c r="Z17" s="303"/>
      <c r="AA17" s="303"/>
      <c r="AB17" s="303"/>
      <c r="AC17" s="321" t="str">
        <f>REPT('RB Lizene Nr.- Eingabe'!AA53,1)</f>
        <v>9</v>
      </c>
      <c r="AD17" s="322"/>
      <c r="AE17" s="323"/>
      <c r="AF17" s="359" t="str">
        <f>REPT('RB Lizene Nr.- Eingabe'!Y53,1)</f>
        <v>16</v>
      </c>
      <c r="AG17" s="348" t="s">
        <v>14</v>
      </c>
      <c r="AH17" s="350" t="str">
        <f>REPT('RB Lizene Nr.- Eingabe'!Z53,1)</f>
        <v>4</v>
      </c>
      <c r="AI17" s="304" t="str">
        <f>REPT('RB Lizene Nr.- Eingabe'!L53,1)</f>
        <v>2</v>
      </c>
      <c r="AJ17" s="406" t="str">
        <f>REPT('RB Lizene Nr.- Eingabe'!AB53,1)</f>
        <v>3</v>
      </c>
      <c r="AK17" s="407" t="str">
        <f>REPT('RB Lizene Nr.- Eingabe'!AC53,1)</f>
        <v>1</v>
      </c>
      <c r="AL17" s="147"/>
      <c r="AM17" s="147"/>
      <c r="AN17" s="147"/>
      <c r="AO17" s="147"/>
      <c r="AP17" s="300">
        <v>10135680045</v>
      </c>
      <c r="AQ17" s="301"/>
      <c r="AR17" s="301"/>
      <c r="AS17" s="301"/>
      <c r="AT17" s="302"/>
    </row>
    <row r="18" spans="3:46" ht="15" customHeight="1" thickBot="1">
      <c r="C18" s="173" t="str">
        <f>IF(ISNUMBER(AP18),VLOOKUP(AP18,'[1]Lizenzen'!$D$8:$K$2838,4,FALSE),"x")</f>
        <v>RVM Bilshausen II</v>
      </c>
      <c r="D18" s="363"/>
      <c r="E18" s="364"/>
      <c r="F18" s="364"/>
      <c r="G18" s="364"/>
      <c r="H18" s="364"/>
      <c r="I18" s="364"/>
      <c r="J18" s="365"/>
      <c r="K18" s="346" t="str">
        <f>IF(ISNUMBER(AP18),VLOOKUP(AP18,'[1]Lizenzen'!$D$8:$K$2836,7,FALSE),"")</f>
        <v>Strüber   Jarik</v>
      </c>
      <c r="L18" s="347"/>
      <c r="M18" s="347"/>
      <c r="N18" s="347"/>
      <c r="O18" s="347"/>
      <c r="P18" s="347"/>
      <c r="Q18" s="347"/>
      <c r="R18" s="347"/>
      <c r="S18" s="347"/>
      <c r="T18" s="311"/>
      <c r="U18" s="312"/>
      <c r="V18" s="312"/>
      <c r="W18" s="312"/>
      <c r="X18" s="313"/>
      <c r="Y18" s="358"/>
      <c r="Z18" s="358"/>
      <c r="AA18" s="358"/>
      <c r="AB18" s="358"/>
      <c r="AC18" s="366"/>
      <c r="AD18" s="367"/>
      <c r="AE18" s="368"/>
      <c r="AF18" s="360"/>
      <c r="AG18" s="349"/>
      <c r="AH18" s="351"/>
      <c r="AI18" s="408"/>
      <c r="AJ18" s="409"/>
      <c r="AK18" s="410"/>
      <c r="AL18" s="147"/>
      <c r="AM18" s="147"/>
      <c r="AN18" s="147"/>
      <c r="AO18" s="147"/>
      <c r="AP18" s="340">
        <v>10135659534</v>
      </c>
      <c r="AQ18" s="341"/>
      <c r="AR18" s="341"/>
      <c r="AS18" s="341"/>
      <c r="AT18" s="342"/>
    </row>
    <row r="19" spans="3:46" ht="15" customHeight="1">
      <c r="C19" s="173" t="str">
        <f>IF(ISNUMBER(AP19),VLOOKUP(AP19,'[1]Lizenzen'!$D$8:$K$2840,4,FALSE)," ")</f>
        <v>RSVL Gifhorn I</v>
      </c>
      <c r="D19" s="327" t="str">
        <f>IF(C20="x",0,IF(C19=C20,C19,"Zugehörigkeit"))</f>
        <v>RSVL Gifhorn I</v>
      </c>
      <c r="E19" s="328"/>
      <c r="F19" s="328"/>
      <c r="G19" s="328"/>
      <c r="H19" s="328"/>
      <c r="I19" s="328"/>
      <c r="J19" s="329"/>
      <c r="K19" s="333" t="str">
        <f>IF(ISNUMBER(AP19),VLOOKUP(AP19,'[1]Lizenzen'!$D$8:$K$2836,7,FALSE),"")</f>
        <v>Kriebel    Paul</v>
      </c>
      <c r="L19" s="334"/>
      <c r="M19" s="334"/>
      <c r="N19" s="334"/>
      <c r="O19" s="334"/>
      <c r="P19" s="334"/>
      <c r="Q19" s="334"/>
      <c r="R19" s="334"/>
      <c r="S19" s="334"/>
      <c r="T19" s="311"/>
      <c r="U19" s="312"/>
      <c r="V19" s="312"/>
      <c r="W19" s="312"/>
      <c r="X19" s="313"/>
      <c r="Y19" s="303"/>
      <c r="Z19" s="303"/>
      <c r="AA19" s="303"/>
      <c r="AB19" s="303"/>
      <c r="AC19" s="321" t="str">
        <f>REPT('RB Lizene Nr.- Eingabe'!AA54,1)</f>
        <v>3</v>
      </c>
      <c r="AD19" s="322"/>
      <c r="AE19" s="323"/>
      <c r="AF19" s="320" t="str">
        <f>REPT('RB Lizene Nr.- Eingabe'!Y54,1)</f>
        <v>3</v>
      </c>
      <c r="AG19" s="343" t="s">
        <v>14</v>
      </c>
      <c r="AH19" s="345" t="str">
        <f>REPT('RB Lizene Nr.- Eingabe'!Z54,1)</f>
        <v>9</v>
      </c>
      <c r="AI19" s="369" t="str">
        <f>REPT('RB Lizene Nr.- Eingabe'!L54,1)</f>
        <v>4</v>
      </c>
      <c r="AJ19" s="370"/>
      <c r="AK19" s="371"/>
      <c r="AL19" s="147"/>
      <c r="AM19" s="147"/>
      <c r="AN19" s="147"/>
      <c r="AO19" s="147"/>
      <c r="AP19" s="300">
        <v>10144063168</v>
      </c>
      <c r="AQ19" s="301"/>
      <c r="AR19" s="301"/>
      <c r="AS19" s="301"/>
      <c r="AT19" s="302"/>
    </row>
    <row r="20" spans="3:46" ht="15" customHeight="1" thickBot="1">
      <c r="C20" s="173" t="str">
        <f>IF(ISNUMBER(AP20),VLOOKUP(AP20,'[1]Lizenzen'!$D$8:$K$2840,4,FALSE),"x")</f>
        <v>RSVL Gifhorn I</v>
      </c>
      <c r="D20" s="363"/>
      <c r="E20" s="364"/>
      <c r="F20" s="364"/>
      <c r="G20" s="364"/>
      <c r="H20" s="364"/>
      <c r="I20" s="364"/>
      <c r="J20" s="365"/>
      <c r="K20" s="346" t="str">
        <f>IF(ISNUMBER(AP20),VLOOKUP(AP20,'[1]Lizenzen'!$D$8:$K$2836,7,FALSE),"")</f>
        <v>Brunken   Henri</v>
      </c>
      <c r="L20" s="347"/>
      <c r="M20" s="347"/>
      <c r="N20" s="347"/>
      <c r="O20" s="347"/>
      <c r="P20" s="347"/>
      <c r="Q20" s="347"/>
      <c r="R20" s="347"/>
      <c r="S20" s="347"/>
      <c r="T20" s="311"/>
      <c r="U20" s="312"/>
      <c r="V20" s="312"/>
      <c r="W20" s="312"/>
      <c r="X20" s="313"/>
      <c r="Y20" s="358"/>
      <c r="Z20" s="358"/>
      <c r="AA20" s="358"/>
      <c r="AB20" s="358"/>
      <c r="AC20" s="366"/>
      <c r="AD20" s="367"/>
      <c r="AE20" s="368"/>
      <c r="AF20" s="320"/>
      <c r="AG20" s="343"/>
      <c r="AH20" s="345"/>
      <c r="AI20" s="372"/>
      <c r="AJ20" s="370"/>
      <c r="AK20" s="371"/>
      <c r="AL20" s="147"/>
      <c r="AM20" s="147"/>
      <c r="AN20" s="147"/>
      <c r="AO20" s="147"/>
      <c r="AP20" s="340">
        <v>10144059431</v>
      </c>
      <c r="AQ20" s="341"/>
      <c r="AR20" s="341"/>
      <c r="AS20" s="341"/>
      <c r="AT20" s="342"/>
    </row>
    <row r="21" spans="3:46" ht="15" customHeight="1">
      <c r="C21" s="173" t="str">
        <f>IF(ISNUMBER(AP21),VLOOKUP(AP21,'[1]Lizenzen'!$D$8:$K$2842,4,FALSE),"")</f>
        <v>RCG Hahndorf I</v>
      </c>
      <c r="D21" s="327" t="str">
        <f>IF(C22="x",0,IF(C21=C22,C21,"Zugehörigkeit"))</f>
        <v>RCG Hahndorf I</v>
      </c>
      <c r="E21" s="328"/>
      <c r="F21" s="328"/>
      <c r="G21" s="328"/>
      <c r="H21" s="328"/>
      <c r="I21" s="328"/>
      <c r="J21" s="329"/>
      <c r="K21" s="333" t="str">
        <f>IF(ISNUMBER(AP21),VLOOKUP(AP21,'[1]Lizenzen'!$D$8:$K$2836,7,FALSE),"")</f>
        <v>Faulhaber   Finn</v>
      </c>
      <c r="L21" s="334"/>
      <c r="M21" s="334"/>
      <c r="N21" s="334"/>
      <c r="O21" s="334"/>
      <c r="P21" s="334"/>
      <c r="Q21" s="334"/>
      <c r="R21" s="334"/>
      <c r="S21" s="334"/>
      <c r="T21" s="311"/>
      <c r="U21" s="312"/>
      <c r="V21" s="312"/>
      <c r="W21" s="312"/>
      <c r="X21" s="313"/>
      <c r="Y21" s="303"/>
      <c r="Z21" s="303"/>
      <c r="AA21" s="303"/>
      <c r="AB21" s="303"/>
      <c r="AC21" s="321" t="str">
        <f>REPT('RB Lizene Nr.- Eingabe'!AA55,1)</f>
        <v>0</v>
      </c>
      <c r="AD21" s="322"/>
      <c r="AE21" s="323"/>
      <c r="AF21" s="359" t="str">
        <f>REPT('RB Lizene Nr.- Eingabe'!Y55,1)</f>
        <v>0</v>
      </c>
      <c r="AG21" s="348" t="s">
        <v>14</v>
      </c>
      <c r="AH21" s="350" t="str">
        <f>REPT('RB Lizene Nr.- Eingabe'!Z55,1)</f>
        <v>26</v>
      </c>
      <c r="AI21" s="304" t="str">
        <f>REPT('RB Lizene Nr.- Eingabe'!L55,1)</f>
        <v>5</v>
      </c>
      <c r="AJ21" s="305"/>
      <c r="AK21" s="306"/>
      <c r="AL21" s="147"/>
      <c r="AM21" s="147"/>
      <c r="AN21" s="147"/>
      <c r="AO21" s="147"/>
      <c r="AP21" s="300">
        <v>10090010015</v>
      </c>
      <c r="AQ21" s="301"/>
      <c r="AR21" s="301"/>
      <c r="AS21" s="301"/>
      <c r="AT21" s="302"/>
    </row>
    <row r="22" spans="3:46" ht="15" customHeight="1" thickBot="1">
      <c r="C22" s="173" t="str">
        <f>IF(ISNUMBER(AP22),VLOOKUP(AP22,'[1]Lizenzen'!$D$8:$K$2842,4,FALSE),"x")</f>
        <v>RCG Hahndorf I</v>
      </c>
      <c r="D22" s="363"/>
      <c r="E22" s="364"/>
      <c r="F22" s="364"/>
      <c r="G22" s="364"/>
      <c r="H22" s="364"/>
      <c r="I22" s="364"/>
      <c r="J22" s="365"/>
      <c r="K22" s="346" t="str">
        <f>IF(ISNUMBER(AP22),VLOOKUP(AP22,'[1]Lizenzen'!$D$8:$K$2836,7,FALSE),"")</f>
        <v>Kroll   Jonah Eliah</v>
      </c>
      <c r="L22" s="347"/>
      <c r="M22" s="347"/>
      <c r="N22" s="347"/>
      <c r="O22" s="347"/>
      <c r="P22" s="347"/>
      <c r="Q22" s="347"/>
      <c r="R22" s="347"/>
      <c r="S22" s="347"/>
      <c r="T22" s="311"/>
      <c r="U22" s="312"/>
      <c r="V22" s="312"/>
      <c r="W22" s="312"/>
      <c r="X22" s="313"/>
      <c r="Y22" s="358"/>
      <c r="Z22" s="358"/>
      <c r="AA22" s="358"/>
      <c r="AB22" s="358"/>
      <c r="AC22" s="366"/>
      <c r="AD22" s="367"/>
      <c r="AE22" s="368"/>
      <c r="AF22" s="360"/>
      <c r="AG22" s="349"/>
      <c r="AH22" s="351"/>
      <c r="AI22" s="352"/>
      <c r="AJ22" s="353"/>
      <c r="AK22" s="354"/>
      <c r="AL22" s="147"/>
      <c r="AM22" s="147"/>
      <c r="AN22" s="147"/>
      <c r="AO22" s="147"/>
      <c r="AP22" s="340">
        <v>10090010016</v>
      </c>
      <c r="AQ22" s="341"/>
      <c r="AR22" s="341"/>
      <c r="AS22" s="341"/>
      <c r="AT22" s="342"/>
    </row>
    <row r="23" spans="3:46" ht="15" customHeight="1">
      <c r="C23" s="173" t="str">
        <f>IF(ISNUMBER(AP23),VLOOKUP(AP23,'[1]Lizenzen'!$D$8:$K$2844,4,FALSE),"")</f>
        <v>RVS Obernfeld II</v>
      </c>
      <c r="D23" s="327" t="str">
        <f>IF(C24="x",0,IF(C23=C24,C23,"Zugehörigkeit"))</f>
        <v>RVS Obernfeld II</v>
      </c>
      <c r="E23" s="328"/>
      <c r="F23" s="328"/>
      <c r="G23" s="328"/>
      <c r="H23" s="328"/>
      <c r="I23" s="328"/>
      <c r="J23" s="329"/>
      <c r="K23" s="333" t="str">
        <f>IF(ISNUMBER(AP23),VLOOKUP(AP23,'[1]Lizenzen'!$D$8:$K$2836,7,FALSE),"")</f>
        <v>Fröhlich   Jaris</v>
      </c>
      <c r="L23" s="334"/>
      <c r="M23" s="334"/>
      <c r="N23" s="334"/>
      <c r="O23" s="334"/>
      <c r="P23" s="334"/>
      <c r="Q23" s="334"/>
      <c r="R23" s="334"/>
      <c r="S23" s="334"/>
      <c r="T23" s="311"/>
      <c r="U23" s="312"/>
      <c r="V23" s="312"/>
      <c r="W23" s="312"/>
      <c r="X23" s="313"/>
      <c r="Y23" s="303"/>
      <c r="Z23" s="303"/>
      <c r="AA23" s="303"/>
      <c r="AB23" s="303"/>
      <c r="AC23" s="321" t="str">
        <f>REPT('RB Lizene Nr.- Eingabe'!AA56,1)</f>
        <v>6</v>
      </c>
      <c r="AD23" s="322"/>
      <c r="AE23" s="323"/>
      <c r="AF23" s="320" t="str">
        <f>REPT('RB Lizene Nr.- Eingabe'!Y56,1)</f>
        <v>10</v>
      </c>
      <c r="AG23" s="343" t="s">
        <v>14</v>
      </c>
      <c r="AH23" s="345" t="str">
        <f>REPT('RB Lizene Nr.- Eingabe'!Z56,1)</f>
        <v>7</v>
      </c>
      <c r="AI23" s="304" t="str">
        <f>REPT('RB Lizene Nr.- Eingabe'!L56,1)</f>
        <v>3</v>
      </c>
      <c r="AJ23" s="305"/>
      <c r="AK23" s="306"/>
      <c r="AL23" s="147"/>
      <c r="AM23" s="147"/>
      <c r="AN23" s="147"/>
      <c r="AO23" s="147"/>
      <c r="AP23" s="300">
        <v>10140027059</v>
      </c>
      <c r="AQ23" s="301"/>
      <c r="AR23" s="301"/>
      <c r="AS23" s="301"/>
      <c r="AT23" s="302"/>
    </row>
    <row r="24" spans="3:46" ht="15" customHeight="1" thickBot="1">
      <c r="C24" s="173" t="str">
        <f>IF(ISNUMBER(AP24),VLOOKUP(AP24,'[1]Lizenzen'!$D$8:$K$2844,4,FALSE),"x")</f>
        <v>RVS Obernfeld II</v>
      </c>
      <c r="D24" s="363"/>
      <c r="E24" s="364"/>
      <c r="F24" s="364"/>
      <c r="G24" s="364"/>
      <c r="H24" s="364"/>
      <c r="I24" s="364"/>
      <c r="J24" s="365"/>
      <c r="K24" s="346" t="str">
        <f>IF(ISNUMBER(AP24),VLOOKUP(AP24,'[1]Lizenzen'!$D$8:$K$2836,7,FALSE),"")</f>
        <v>Menzel   Alexander</v>
      </c>
      <c r="L24" s="347"/>
      <c r="M24" s="347"/>
      <c r="N24" s="347"/>
      <c r="O24" s="347"/>
      <c r="P24" s="347"/>
      <c r="Q24" s="347"/>
      <c r="R24" s="347"/>
      <c r="S24" s="347"/>
      <c r="T24" s="311"/>
      <c r="U24" s="312"/>
      <c r="V24" s="312"/>
      <c r="W24" s="312"/>
      <c r="X24" s="313"/>
      <c r="Y24" s="358"/>
      <c r="Z24" s="358"/>
      <c r="AA24" s="358"/>
      <c r="AB24" s="358"/>
      <c r="AC24" s="366"/>
      <c r="AD24" s="367"/>
      <c r="AE24" s="368"/>
      <c r="AF24" s="320"/>
      <c r="AG24" s="343"/>
      <c r="AH24" s="345"/>
      <c r="AI24" s="352"/>
      <c r="AJ24" s="353"/>
      <c r="AK24" s="354"/>
      <c r="AL24" s="147"/>
      <c r="AM24" s="147"/>
      <c r="AN24" s="147"/>
      <c r="AO24" s="147"/>
      <c r="AP24" s="340">
        <v>10142622417</v>
      </c>
      <c r="AQ24" s="341"/>
      <c r="AR24" s="341"/>
      <c r="AS24" s="341"/>
      <c r="AT24" s="342"/>
    </row>
    <row r="25" spans="3:46" ht="15" customHeight="1">
      <c r="C25" s="173">
        <f>IF(ISNUMBER(AP25),VLOOKUP(AP25,'[1]Lizenzen'!$D$8:$K$2846,4,FALSE),"")</f>
      </c>
      <c r="D25" s="327">
        <f>IF(C26="x",0,IF(C25=C26,C25,"Zugehörigkeit"))</f>
        <v>0</v>
      </c>
      <c r="E25" s="328"/>
      <c r="F25" s="328"/>
      <c r="G25" s="328"/>
      <c r="H25" s="328"/>
      <c r="I25" s="328"/>
      <c r="J25" s="329"/>
      <c r="K25" s="333">
        <f>IF(ISNUMBER(AP25),VLOOKUP(AP25,'[1]Lizenzen'!$D$8:$K$2836,7,FALSE),"")</f>
      </c>
      <c r="L25" s="334"/>
      <c r="M25" s="334"/>
      <c r="N25" s="334"/>
      <c r="O25" s="334"/>
      <c r="P25" s="334"/>
      <c r="Q25" s="334"/>
      <c r="R25" s="334"/>
      <c r="S25" s="334"/>
      <c r="T25" s="311">
        <f>IF(ISNUMBER(AP25),VLOOKUP(AP25,'[1]Lizenzen'!D8:K2846,3,FALSE),"")</f>
      </c>
      <c r="U25" s="312"/>
      <c r="V25" s="312"/>
      <c r="W25" s="312"/>
      <c r="X25" s="313"/>
      <c r="Y25" s="303">
        <f>IF(ISNUMBER(AP25),VLOOKUP(AP25,'[1]Lizenzen'!D8:K2846,8,FALSE),"")</f>
      </c>
      <c r="Z25" s="303"/>
      <c r="AA25" s="303"/>
      <c r="AB25" s="303"/>
      <c r="AC25" s="321">
        <f>REPT('RB Lizene Nr.- Eingabe'!AA57,1)</f>
      </c>
      <c r="AD25" s="322"/>
      <c r="AE25" s="323"/>
      <c r="AF25" s="359">
        <f>REPT('RB Lizene Nr.- Eingabe'!Y57,1)</f>
      </c>
      <c r="AG25" s="348" t="s">
        <v>14</v>
      </c>
      <c r="AH25" s="350">
        <f>REPT('RB Lizene Nr.- Eingabe'!Z57,1)</f>
      </c>
      <c r="AI25" s="369">
        <f>REPT('RB Lizene Nr.- Eingabe'!L57,1)</f>
      </c>
      <c r="AJ25" s="370"/>
      <c r="AK25" s="371"/>
      <c r="AL25" s="147"/>
      <c r="AM25" s="147"/>
      <c r="AN25" s="147"/>
      <c r="AO25" s="147"/>
      <c r="AP25" s="300"/>
      <c r="AQ25" s="301"/>
      <c r="AR25" s="301"/>
      <c r="AS25" s="301"/>
      <c r="AT25" s="302"/>
    </row>
    <row r="26" spans="3:46" ht="15" customHeight="1" thickBot="1">
      <c r="C26" s="173" t="str">
        <f>IF(ISNUMBER(AP26),VLOOKUP(AP26,'[1]Lizenzen'!$D$8:$K$2846,4,FALSE),"x")</f>
        <v>x</v>
      </c>
      <c r="D26" s="363"/>
      <c r="E26" s="364"/>
      <c r="F26" s="364"/>
      <c r="G26" s="364"/>
      <c r="H26" s="364"/>
      <c r="I26" s="364"/>
      <c r="J26" s="365"/>
      <c r="K26" s="346">
        <f>IF(ISNUMBER(AP26),VLOOKUP(AP26,'[1]Lizenzen'!$D$8:$K$2836,7,FALSE),"")</f>
      </c>
      <c r="L26" s="347"/>
      <c r="M26" s="347"/>
      <c r="N26" s="347"/>
      <c r="O26" s="347"/>
      <c r="P26" s="347"/>
      <c r="Q26" s="347"/>
      <c r="R26" s="347"/>
      <c r="S26" s="347"/>
      <c r="T26" s="311">
        <f>IF(ISNUMBER(AP26),VLOOKUP(AP26,'[1]Lizenzen'!D8:K2847,3,FALSE),"")</f>
      </c>
      <c r="U26" s="312"/>
      <c r="V26" s="312"/>
      <c r="W26" s="312"/>
      <c r="X26" s="313"/>
      <c r="Y26" s="358">
        <f>IF(ISNUMBER(AP26),VLOOKUP(AP26,'[1]Lizenzen'!D8:K2847,8,FALSE),"")</f>
      </c>
      <c r="Z26" s="358"/>
      <c r="AA26" s="358"/>
      <c r="AB26" s="358"/>
      <c r="AC26" s="366"/>
      <c r="AD26" s="367"/>
      <c r="AE26" s="368"/>
      <c r="AF26" s="360"/>
      <c r="AG26" s="349"/>
      <c r="AH26" s="351"/>
      <c r="AI26" s="372"/>
      <c r="AJ26" s="370"/>
      <c r="AK26" s="371"/>
      <c r="AL26" s="147"/>
      <c r="AM26" s="147"/>
      <c r="AN26" s="147"/>
      <c r="AO26" s="147"/>
      <c r="AP26" s="340"/>
      <c r="AQ26" s="341"/>
      <c r="AR26" s="341"/>
      <c r="AS26" s="341"/>
      <c r="AT26" s="342"/>
    </row>
    <row r="27" spans="3:46" ht="15" customHeight="1">
      <c r="C27" s="173">
        <f>IF(ISNUMBER(AP27),VLOOKUP(AP27,'[1]Lizenzen'!$D$8:$K$2848,4,FALSE),"")</f>
      </c>
      <c r="D27" s="327">
        <f>IF(C28="x",0,IF(C27=C28,C27,"Zugehörigkeit"))</f>
        <v>0</v>
      </c>
      <c r="E27" s="328"/>
      <c r="F27" s="328"/>
      <c r="G27" s="328"/>
      <c r="H27" s="328"/>
      <c r="I27" s="328"/>
      <c r="J27" s="329"/>
      <c r="K27" s="333">
        <f>IF(ISNUMBER(AP27),VLOOKUP(AP27,'[1]Lizenzen'!$D$8:$K$2836,7,FALSE),"")</f>
      </c>
      <c r="L27" s="334"/>
      <c r="M27" s="334"/>
      <c r="N27" s="334"/>
      <c r="O27" s="334"/>
      <c r="P27" s="334"/>
      <c r="Q27" s="334"/>
      <c r="R27" s="334"/>
      <c r="S27" s="334"/>
      <c r="T27" s="311">
        <f>IF(ISNUMBER(AP27),VLOOKUP(AP27,'[1]Lizenzen'!D8:K2848,3,FALSE),"")</f>
      </c>
      <c r="U27" s="312"/>
      <c r="V27" s="312"/>
      <c r="W27" s="312"/>
      <c r="X27" s="313"/>
      <c r="Y27" s="303">
        <f>IF(ISNUMBER(AP27),VLOOKUP(AP27,'[1]Lizenzen'!D8:K2848,8,FALSE),"")</f>
      </c>
      <c r="Z27" s="361"/>
      <c r="AA27" s="361"/>
      <c r="AB27" s="362"/>
      <c r="AC27" s="321">
        <f>REPT('RB Lizene Nr.- Eingabe'!AA58,1)</f>
      </c>
      <c r="AD27" s="322"/>
      <c r="AE27" s="323"/>
      <c r="AF27" s="359">
        <f>REPT('RB Lizene Nr.- Eingabe'!Y58,1)</f>
      </c>
      <c r="AG27" s="348" t="s">
        <v>14</v>
      </c>
      <c r="AH27" s="350">
        <f>REPT('RB Lizene Nr.- Eingabe'!Z58,1)</f>
      </c>
      <c r="AI27" s="304">
        <f>REPT('RB Lizene Nr.- Eingabe'!L58,1)</f>
      </c>
      <c r="AJ27" s="305"/>
      <c r="AK27" s="306"/>
      <c r="AL27" s="147"/>
      <c r="AM27" s="147"/>
      <c r="AN27" s="147"/>
      <c r="AO27" s="147"/>
      <c r="AP27" s="300"/>
      <c r="AQ27" s="301"/>
      <c r="AR27" s="301"/>
      <c r="AS27" s="301"/>
      <c r="AT27" s="302"/>
    </row>
    <row r="28" spans="3:46" ht="15" customHeight="1" thickBot="1">
      <c r="C28" s="173" t="str">
        <f>IF(ISNUMBER(AP28),VLOOKUP(AP28,'[1]Lizenzen'!$D$8:$K$2848,4,FALSE),"x")</f>
        <v>x</v>
      </c>
      <c r="D28" s="363"/>
      <c r="E28" s="364"/>
      <c r="F28" s="364"/>
      <c r="G28" s="364"/>
      <c r="H28" s="364"/>
      <c r="I28" s="364"/>
      <c r="J28" s="365"/>
      <c r="K28" s="346">
        <f>IF(ISNUMBER(AP28),VLOOKUP(AP28,'[1]Lizenzen'!$D$8:$K$2836,7,FALSE),"")</f>
      </c>
      <c r="L28" s="347"/>
      <c r="M28" s="347"/>
      <c r="N28" s="347"/>
      <c r="O28" s="347"/>
      <c r="P28" s="347"/>
      <c r="Q28" s="347"/>
      <c r="R28" s="347"/>
      <c r="S28" s="347"/>
      <c r="T28" s="311">
        <f>IF(ISNUMBER(AP28),VLOOKUP(AP28,'[1]Lizenzen'!D8:K2849,3,FALSE),"")</f>
      </c>
      <c r="U28" s="312"/>
      <c r="V28" s="312"/>
      <c r="W28" s="312"/>
      <c r="X28" s="313"/>
      <c r="Y28" s="358">
        <f>IF(ISNUMBER(AP28),VLOOKUP(AP28,'[1]Lizenzen'!D8:K2849,8,FALSE),"")</f>
      </c>
      <c r="Z28" s="358"/>
      <c r="AA28" s="358"/>
      <c r="AB28" s="358"/>
      <c r="AC28" s="366"/>
      <c r="AD28" s="367"/>
      <c r="AE28" s="368"/>
      <c r="AF28" s="360"/>
      <c r="AG28" s="349"/>
      <c r="AH28" s="351"/>
      <c r="AI28" s="352"/>
      <c r="AJ28" s="353"/>
      <c r="AK28" s="354"/>
      <c r="AL28" s="147"/>
      <c r="AM28" s="147"/>
      <c r="AN28" s="147"/>
      <c r="AO28" s="147"/>
      <c r="AP28" s="355"/>
      <c r="AQ28" s="356"/>
      <c r="AR28" s="356"/>
      <c r="AS28" s="356"/>
      <c r="AT28" s="357"/>
    </row>
    <row r="29" spans="3:46" ht="15" customHeight="1">
      <c r="C29" s="173">
        <f>IF(ISNUMBER(AP29),VLOOKUP(AP29,'[1]Lizenzen'!$D$8:$K$2850,4,FALSE),"")</f>
      </c>
      <c r="D29" s="327">
        <f>IF(C30="x",0,IF(C29=C30,C29,"Zugehörigkeit"))</f>
        <v>0</v>
      </c>
      <c r="E29" s="328"/>
      <c r="F29" s="328"/>
      <c r="G29" s="328"/>
      <c r="H29" s="328"/>
      <c r="I29" s="328"/>
      <c r="J29" s="329"/>
      <c r="K29" s="333">
        <f>IF(ISNUMBER(AP29),VLOOKUP(AP29,'[1]Lizenzen'!$D$8:$K$2836,7,FALSE),"")</f>
      </c>
      <c r="L29" s="334"/>
      <c r="M29" s="334"/>
      <c r="N29" s="334"/>
      <c r="O29" s="334"/>
      <c r="P29" s="334"/>
      <c r="Q29" s="334"/>
      <c r="R29" s="334"/>
      <c r="S29" s="334"/>
      <c r="T29" s="311">
        <f>IF(ISNUMBER(AP29),VLOOKUP(AP29,'[1]Lizenzen'!D8:K2850,3,FALSE),"")</f>
      </c>
      <c r="U29" s="312"/>
      <c r="V29" s="312"/>
      <c r="W29" s="312"/>
      <c r="X29" s="313"/>
      <c r="Y29" s="303">
        <f>IF(ISNUMBER(AP29),VLOOKUP(AP29,'[1]Lizenzen'!D8:K2850,8,FALSE),"")</f>
      </c>
      <c r="Z29" s="303"/>
      <c r="AA29" s="303"/>
      <c r="AB29" s="303"/>
      <c r="AC29" s="321">
        <f>REPT('RB Lizene Nr.- Eingabe'!AA59,1)</f>
      </c>
      <c r="AD29" s="322"/>
      <c r="AE29" s="323"/>
      <c r="AF29" s="320">
        <f>REPT('RB Lizene Nr.- Eingabe'!Y59,1)</f>
      </c>
      <c r="AG29" s="343" t="s">
        <v>14</v>
      </c>
      <c r="AH29" s="345">
        <f>REPT('RB Lizene Nr.- Eingabe'!Z59,1)</f>
      </c>
      <c r="AI29" s="304">
        <f>REPT('RB Lizene Nr.- Eingabe'!L59,1)</f>
      </c>
      <c r="AJ29" s="305"/>
      <c r="AK29" s="306"/>
      <c r="AL29" s="147"/>
      <c r="AM29" s="147"/>
      <c r="AN29" s="147"/>
      <c r="AO29" s="147"/>
      <c r="AP29" s="300"/>
      <c r="AQ29" s="301"/>
      <c r="AR29" s="301"/>
      <c r="AS29" s="301"/>
      <c r="AT29" s="302"/>
    </row>
    <row r="30" spans="3:46" ht="15" customHeight="1" thickBot="1">
      <c r="C30" s="173" t="str">
        <f>IF(ISNUMBER(AP30),VLOOKUP(AP30,'[1]Lizenzen'!$D$8:$K$2850,4,FALSE),"x")</f>
        <v>x</v>
      </c>
      <c r="D30" s="330"/>
      <c r="E30" s="331"/>
      <c r="F30" s="331"/>
      <c r="G30" s="331"/>
      <c r="H30" s="331"/>
      <c r="I30" s="331"/>
      <c r="J30" s="332"/>
      <c r="K30" s="335">
        <f>IF(ISNUMBER(AP30),VLOOKUP(AP30,'[1]Lizenzen'!$D$8:$K$2836,7,FALSE),"")</f>
      </c>
      <c r="L30" s="336"/>
      <c r="M30" s="336"/>
      <c r="N30" s="336"/>
      <c r="O30" s="336"/>
      <c r="P30" s="336"/>
      <c r="Q30" s="336"/>
      <c r="R30" s="336"/>
      <c r="S30" s="336"/>
      <c r="T30" s="314">
        <f>IF(ISNUMBER(AP30),VLOOKUP(AP30,'[1]Lizenzen'!D8:K2851,3,FALSE),"")</f>
      </c>
      <c r="U30" s="315"/>
      <c r="V30" s="315"/>
      <c r="W30" s="315"/>
      <c r="X30" s="316"/>
      <c r="Y30" s="319">
        <f>IF(ISNUMBER(AP30),VLOOKUP(AP30,'[1]Lizenzen'!D8:K2851,8,FALSE),"")</f>
      </c>
      <c r="Z30" s="319"/>
      <c r="AA30" s="319"/>
      <c r="AB30" s="319"/>
      <c r="AC30" s="324"/>
      <c r="AD30" s="325"/>
      <c r="AE30" s="326"/>
      <c r="AF30" s="320"/>
      <c r="AG30" s="344"/>
      <c r="AH30" s="345"/>
      <c r="AI30" s="307"/>
      <c r="AJ30" s="308"/>
      <c r="AK30" s="309"/>
      <c r="AL30" s="147"/>
      <c r="AM30" s="147"/>
      <c r="AN30" s="147"/>
      <c r="AO30" s="147"/>
      <c r="AP30" s="340"/>
      <c r="AQ30" s="341"/>
      <c r="AR30" s="341"/>
      <c r="AS30" s="341"/>
      <c r="AT30" s="342"/>
    </row>
    <row r="31" spans="4:40" ht="18.75" customHeight="1" thickBot="1">
      <c r="D31" s="175" t="s">
        <v>43</v>
      </c>
      <c r="E31" s="176"/>
      <c r="F31" s="176"/>
      <c r="G31" s="176"/>
      <c r="H31" s="176"/>
      <c r="P31" s="177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317" t="s">
        <v>152</v>
      </c>
      <c r="AC31" s="318"/>
      <c r="AD31" s="318"/>
      <c r="AE31" s="318"/>
      <c r="AF31" s="318"/>
      <c r="AG31" s="318"/>
      <c r="AH31" s="179">
        <v>5</v>
      </c>
      <c r="AI31" s="310" t="s">
        <v>44</v>
      </c>
      <c r="AJ31" s="310"/>
      <c r="AK31" s="310"/>
      <c r="AL31" s="180"/>
      <c r="AM31" s="180"/>
      <c r="AN31" s="180"/>
    </row>
    <row r="32" spans="4:42" ht="18.75" customHeight="1">
      <c r="D32" s="337" t="s">
        <v>15</v>
      </c>
      <c r="E32" s="338"/>
      <c r="F32" s="339" t="str">
        <f>REPT('RB Lizene Nr.- Eingabe'!T4,1)</f>
        <v>RVS Obernfeld I</v>
      </c>
      <c r="G32" s="339"/>
      <c r="H32" s="339"/>
      <c r="I32" s="339"/>
      <c r="J32" s="339"/>
      <c r="K32" s="339" t="str">
        <f>REPT('RB Lizene Nr.- Eingabe'!V4,1)</f>
        <v>RVS Obernfeld II</v>
      </c>
      <c r="L32" s="339"/>
      <c r="M32" s="339"/>
      <c r="N32" s="339"/>
      <c r="O32" s="339"/>
      <c r="P32" s="286">
        <v>6</v>
      </c>
      <c r="Q32" s="286"/>
      <c r="R32" s="181" t="s">
        <v>14</v>
      </c>
      <c r="S32" s="282">
        <v>1</v>
      </c>
      <c r="T32" s="283"/>
      <c r="U32" s="288" t="s">
        <v>29</v>
      </c>
      <c r="V32" s="289"/>
      <c r="W32" s="295">
        <f>REPT('RB Lizene Nr.- Eingabe'!T18,1)</f>
      </c>
      <c r="X32" s="295"/>
      <c r="Y32" s="295"/>
      <c r="Z32" s="295"/>
      <c r="AA32" s="295"/>
      <c r="AB32" s="295">
        <f>REPT('RB Lizene Nr.- Eingabe'!V18,1)</f>
      </c>
      <c r="AC32" s="295"/>
      <c r="AD32" s="295"/>
      <c r="AE32" s="295"/>
      <c r="AF32" s="295"/>
      <c r="AG32" s="286"/>
      <c r="AH32" s="286"/>
      <c r="AI32" s="181" t="s">
        <v>14</v>
      </c>
      <c r="AJ32" s="282"/>
      <c r="AK32" s="283"/>
      <c r="AL32" s="182"/>
      <c r="AM32" s="182"/>
      <c r="AN32" s="182"/>
      <c r="AO32" s="182"/>
      <c r="AP32" s="180"/>
    </row>
    <row r="33" spans="4:42" ht="18.75" customHeight="1">
      <c r="D33" s="291" t="s">
        <v>16</v>
      </c>
      <c r="E33" s="292"/>
      <c r="F33" s="296" t="str">
        <f>REPT('RB Lizene Nr.- Eingabe'!T5,1)</f>
        <v>RVM Bilshausen II</v>
      </c>
      <c r="G33" s="296"/>
      <c r="H33" s="296"/>
      <c r="I33" s="296"/>
      <c r="J33" s="296"/>
      <c r="K33" s="296" t="str">
        <f>REPT('RB Lizene Nr.- Eingabe'!V5,1)</f>
        <v>RSVL Gifhorn I</v>
      </c>
      <c r="L33" s="296"/>
      <c r="M33" s="296"/>
      <c r="N33" s="296"/>
      <c r="O33" s="296"/>
      <c r="P33" s="286">
        <v>3</v>
      </c>
      <c r="Q33" s="286"/>
      <c r="R33" s="183" t="s">
        <v>14</v>
      </c>
      <c r="S33" s="282">
        <v>1</v>
      </c>
      <c r="T33" s="283"/>
      <c r="U33" s="291" t="s">
        <v>30</v>
      </c>
      <c r="V33" s="292"/>
      <c r="W33" s="285">
        <f>REPT('RB Lizene Nr.- Eingabe'!T19,1)</f>
      </c>
      <c r="X33" s="285"/>
      <c r="Y33" s="285"/>
      <c r="Z33" s="285"/>
      <c r="AA33" s="285"/>
      <c r="AB33" s="285">
        <f>REPT('RB Lizene Nr.- Eingabe'!V19,1)</f>
      </c>
      <c r="AC33" s="285"/>
      <c r="AD33" s="285"/>
      <c r="AE33" s="285"/>
      <c r="AF33" s="285"/>
      <c r="AG33" s="286"/>
      <c r="AH33" s="286"/>
      <c r="AI33" s="183" t="s">
        <v>14</v>
      </c>
      <c r="AJ33" s="282"/>
      <c r="AK33" s="283"/>
      <c r="AL33" s="182"/>
      <c r="AM33" s="182"/>
      <c r="AN33" s="182"/>
      <c r="AO33" s="182"/>
      <c r="AP33" s="180"/>
    </row>
    <row r="34" spans="4:42" ht="18.75" customHeight="1">
      <c r="D34" s="291" t="s">
        <v>17</v>
      </c>
      <c r="E34" s="292"/>
      <c r="F34" s="296" t="str">
        <f>REPT('RB Lizene Nr.- Eingabe'!T6,1)</f>
        <v>RCG Hahndorf I</v>
      </c>
      <c r="G34" s="296"/>
      <c r="H34" s="296"/>
      <c r="I34" s="296"/>
      <c r="J34" s="296"/>
      <c r="K34" s="296" t="str">
        <f>REPT('RB Lizene Nr.- Eingabe'!V6,1)</f>
        <v>RVS Obernfeld II</v>
      </c>
      <c r="L34" s="296"/>
      <c r="M34" s="296"/>
      <c r="N34" s="296"/>
      <c r="O34" s="296"/>
      <c r="P34" s="286">
        <v>0</v>
      </c>
      <c r="Q34" s="286"/>
      <c r="R34" s="184" t="s">
        <v>14</v>
      </c>
      <c r="S34" s="282">
        <v>6</v>
      </c>
      <c r="T34" s="283"/>
      <c r="U34" s="291" t="s">
        <v>31</v>
      </c>
      <c r="V34" s="292"/>
      <c r="W34" s="285">
        <f>REPT('RB Lizene Nr.- Eingabe'!T20,1)</f>
      </c>
      <c r="X34" s="285"/>
      <c r="Y34" s="285"/>
      <c r="Z34" s="285"/>
      <c r="AA34" s="285"/>
      <c r="AB34" s="285">
        <f>REPT('RB Lizene Nr.- Eingabe'!V20,1)</f>
      </c>
      <c r="AC34" s="285"/>
      <c r="AD34" s="285"/>
      <c r="AE34" s="285"/>
      <c r="AF34" s="285"/>
      <c r="AG34" s="286"/>
      <c r="AH34" s="286"/>
      <c r="AI34" s="184" t="s">
        <v>14</v>
      </c>
      <c r="AJ34" s="282"/>
      <c r="AK34" s="283"/>
      <c r="AL34" s="182"/>
      <c r="AM34" s="182"/>
      <c r="AN34" s="182"/>
      <c r="AO34" s="182"/>
      <c r="AP34" s="180"/>
    </row>
    <row r="35" spans="4:42" ht="18.75" customHeight="1">
      <c r="D35" s="298" t="s">
        <v>18</v>
      </c>
      <c r="E35" s="299"/>
      <c r="F35" s="296" t="str">
        <f>REPT('RB Lizene Nr.- Eingabe'!T7,1)</f>
        <v>RVS Obernfeld I</v>
      </c>
      <c r="G35" s="296"/>
      <c r="H35" s="296"/>
      <c r="I35" s="296"/>
      <c r="J35" s="296"/>
      <c r="K35" s="296" t="str">
        <f>REPT('RB Lizene Nr.- Eingabe'!V7,1)</f>
        <v>RSVL Gifhorn I</v>
      </c>
      <c r="L35" s="296"/>
      <c r="M35" s="296"/>
      <c r="N35" s="296"/>
      <c r="O35" s="296"/>
      <c r="P35" s="286">
        <v>3</v>
      </c>
      <c r="Q35" s="286"/>
      <c r="R35" s="185" t="s">
        <v>14</v>
      </c>
      <c r="S35" s="282">
        <v>0</v>
      </c>
      <c r="T35" s="283"/>
      <c r="U35" s="291" t="s">
        <v>32</v>
      </c>
      <c r="V35" s="292"/>
      <c r="W35" s="285">
        <f>REPT('RB Lizene Nr.- Eingabe'!T21,1)</f>
      </c>
      <c r="X35" s="285"/>
      <c r="Y35" s="285"/>
      <c r="Z35" s="285"/>
      <c r="AA35" s="285"/>
      <c r="AB35" s="285">
        <f>REPT('RB Lizene Nr.- Eingabe'!V21,1)</f>
      </c>
      <c r="AC35" s="285"/>
      <c r="AD35" s="285"/>
      <c r="AE35" s="285"/>
      <c r="AF35" s="285"/>
      <c r="AG35" s="286"/>
      <c r="AH35" s="286"/>
      <c r="AI35" s="185" t="s">
        <v>14</v>
      </c>
      <c r="AJ35" s="282"/>
      <c r="AK35" s="283"/>
      <c r="AL35" s="182"/>
      <c r="AM35" s="182"/>
      <c r="AN35" s="182"/>
      <c r="AO35" s="182"/>
      <c r="AP35" s="180"/>
    </row>
    <row r="36" spans="4:42" ht="18.75" customHeight="1">
      <c r="D36" s="291" t="s">
        <v>19</v>
      </c>
      <c r="E36" s="292"/>
      <c r="F36" s="296" t="str">
        <f>REPT('RB Lizene Nr.- Eingabe'!T8,1)</f>
        <v>RVM Bilshausen II</v>
      </c>
      <c r="G36" s="296"/>
      <c r="H36" s="296"/>
      <c r="I36" s="296"/>
      <c r="J36" s="296"/>
      <c r="K36" s="296" t="str">
        <f>REPT('RB Lizene Nr.- Eingabe'!V8,1)</f>
        <v>RCG Hahndorf I</v>
      </c>
      <c r="L36" s="296"/>
      <c r="M36" s="296"/>
      <c r="N36" s="296"/>
      <c r="O36" s="296"/>
      <c r="P36" s="286">
        <v>10</v>
      </c>
      <c r="Q36" s="286"/>
      <c r="R36" s="184" t="s">
        <v>14</v>
      </c>
      <c r="S36" s="282">
        <v>0</v>
      </c>
      <c r="T36" s="283"/>
      <c r="U36" s="291" t="s">
        <v>33</v>
      </c>
      <c r="V36" s="292"/>
      <c r="W36" s="285">
        <f>REPT('RB Lizene Nr.- Eingabe'!T22,1)</f>
      </c>
      <c r="X36" s="285"/>
      <c r="Y36" s="285"/>
      <c r="Z36" s="285"/>
      <c r="AA36" s="285"/>
      <c r="AB36" s="285">
        <f>REPT('RB Lizene Nr.- Eingabe'!V22,1)</f>
      </c>
      <c r="AC36" s="285"/>
      <c r="AD36" s="285"/>
      <c r="AE36" s="285"/>
      <c r="AF36" s="285"/>
      <c r="AG36" s="286"/>
      <c r="AH36" s="286"/>
      <c r="AI36" s="184" t="s">
        <v>14</v>
      </c>
      <c r="AJ36" s="282"/>
      <c r="AK36" s="283"/>
      <c r="AL36" s="182"/>
      <c r="AM36" s="182"/>
      <c r="AN36" s="182"/>
      <c r="AO36" s="182"/>
      <c r="AP36" s="180"/>
    </row>
    <row r="37" spans="4:42" ht="18.75" customHeight="1">
      <c r="D37" s="288" t="s">
        <v>20</v>
      </c>
      <c r="E37" s="289"/>
      <c r="F37" s="296" t="str">
        <f>REPT('RB Lizene Nr.- Eingabe'!T9,1)</f>
        <v>RSVL Gifhorn I</v>
      </c>
      <c r="G37" s="296"/>
      <c r="H37" s="296"/>
      <c r="I37" s="296"/>
      <c r="J37" s="296"/>
      <c r="K37" s="296" t="str">
        <f>REPT('RB Lizene Nr.- Eingabe'!V9,1)</f>
        <v>RVS Obernfeld II</v>
      </c>
      <c r="L37" s="296"/>
      <c r="M37" s="296"/>
      <c r="N37" s="296"/>
      <c r="O37" s="296"/>
      <c r="P37" s="286">
        <v>0</v>
      </c>
      <c r="Q37" s="286"/>
      <c r="R37" s="185" t="s">
        <v>14</v>
      </c>
      <c r="S37" s="282">
        <v>3</v>
      </c>
      <c r="T37" s="283"/>
      <c r="U37" s="291" t="s">
        <v>34</v>
      </c>
      <c r="V37" s="292"/>
      <c r="W37" s="285">
        <f>REPT('RB Lizene Nr.- Eingabe'!T23,1)</f>
      </c>
      <c r="X37" s="285"/>
      <c r="Y37" s="285"/>
      <c r="Z37" s="285"/>
      <c r="AA37" s="285"/>
      <c r="AB37" s="285">
        <f>REPT('RB Lizene Nr.- Eingabe'!V23,1)</f>
      </c>
      <c r="AC37" s="285"/>
      <c r="AD37" s="285"/>
      <c r="AE37" s="285"/>
      <c r="AF37" s="285"/>
      <c r="AG37" s="286"/>
      <c r="AH37" s="286"/>
      <c r="AI37" s="185" t="s">
        <v>14</v>
      </c>
      <c r="AJ37" s="282"/>
      <c r="AK37" s="283"/>
      <c r="AL37" s="182"/>
      <c r="AM37" s="182"/>
      <c r="AN37" s="182"/>
      <c r="AO37" s="182"/>
      <c r="AP37" s="180"/>
    </row>
    <row r="38" spans="4:42" ht="18.75" customHeight="1">
      <c r="D38" s="291" t="s">
        <v>21</v>
      </c>
      <c r="E38" s="292"/>
      <c r="F38" s="296" t="str">
        <f>REPT('RB Lizene Nr.- Eingabe'!T10,1)</f>
        <v>RVS Obernfeld I</v>
      </c>
      <c r="G38" s="296"/>
      <c r="H38" s="296"/>
      <c r="I38" s="296"/>
      <c r="J38" s="296"/>
      <c r="K38" s="296" t="str">
        <f>REPT('RB Lizene Nr.- Eingabe'!V10,1)</f>
        <v>RCG Hahndorf I</v>
      </c>
      <c r="L38" s="296"/>
      <c r="M38" s="296"/>
      <c r="N38" s="296"/>
      <c r="O38" s="296"/>
      <c r="P38" s="286">
        <v>8</v>
      </c>
      <c r="Q38" s="286"/>
      <c r="R38" s="184" t="s">
        <v>14</v>
      </c>
      <c r="S38" s="282">
        <v>0</v>
      </c>
      <c r="T38" s="283"/>
      <c r="U38" s="291" t="s">
        <v>35</v>
      </c>
      <c r="V38" s="292"/>
      <c r="W38" s="285">
        <f>REPT('RB Lizene Nr.- Eingabe'!T24,1)</f>
      </c>
      <c r="X38" s="285"/>
      <c r="Y38" s="285"/>
      <c r="Z38" s="285"/>
      <c r="AA38" s="285"/>
      <c r="AB38" s="285">
        <f>REPT('RB Lizene Nr.- Eingabe'!V24,1)</f>
      </c>
      <c r="AC38" s="285"/>
      <c r="AD38" s="285"/>
      <c r="AE38" s="285"/>
      <c r="AF38" s="285"/>
      <c r="AG38" s="286"/>
      <c r="AH38" s="286"/>
      <c r="AI38" s="184" t="s">
        <v>14</v>
      </c>
      <c r="AJ38" s="282"/>
      <c r="AK38" s="283"/>
      <c r="AL38" s="182"/>
      <c r="AM38" s="182"/>
      <c r="AN38" s="182"/>
      <c r="AO38" s="182"/>
      <c r="AP38" s="180"/>
    </row>
    <row r="39" spans="4:42" ht="18.75" customHeight="1">
      <c r="D39" s="288" t="s">
        <v>22</v>
      </c>
      <c r="E39" s="289"/>
      <c r="F39" s="296" t="str">
        <f>REPT('RB Lizene Nr.- Eingabe'!T11,1)</f>
        <v>RVM Bilshausen II</v>
      </c>
      <c r="G39" s="296"/>
      <c r="H39" s="296"/>
      <c r="I39" s="296"/>
      <c r="J39" s="296"/>
      <c r="K39" s="296" t="str">
        <f>REPT('RB Lizene Nr.- Eingabe'!V11,1)</f>
        <v>RVS Obernfeld II</v>
      </c>
      <c r="L39" s="296"/>
      <c r="M39" s="296"/>
      <c r="N39" s="296"/>
      <c r="O39" s="296"/>
      <c r="P39" s="286">
        <v>1</v>
      </c>
      <c r="Q39" s="286"/>
      <c r="R39" s="185" t="s">
        <v>14</v>
      </c>
      <c r="S39" s="282">
        <v>0</v>
      </c>
      <c r="T39" s="283"/>
      <c r="U39" s="291" t="s">
        <v>36</v>
      </c>
      <c r="V39" s="292"/>
      <c r="W39" s="285">
        <f>REPT('RB Lizene Nr.- Eingabe'!T25,1)</f>
      </c>
      <c r="X39" s="285"/>
      <c r="Y39" s="285"/>
      <c r="Z39" s="285"/>
      <c r="AA39" s="285"/>
      <c r="AB39" s="285">
        <f>REPT('RB Lizene Nr.- Eingabe'!V25,1)</f>
      </c>
      <c r="AC39" s="285"/>
      <c r="AD39" s="285"/>
      <c r="AE39" s="285"/>
      <c r="AF39" s="285"/>
      <c r="AG39" s="286"/>
      <c r="AH39" s="286"/>
      <c r="AI39" s="185" t="s">
        <v>14</v>
      </c>
      <c r="AJ39" s="282"/>
      <c r="AK39" s="283"/>
      <c r="AL39" s="182"/>
      <c r="AM39" s="182"/>
      <c r="AN39" s="182"/>
      <c r="AO39" s="182"/>
      <c r="AP39" s="180"/>
    </row>
    <row r="40" spans="4:42" ht="18.75" customHeight="1">
      <c r="D40" s="291" t="s">
        <v>23</v>
      </c>
      <c r="E40" s="292"/>
      <c r="F40" s="293" t="str">
        <f>REPT('RB Lizene Nr.- Eingabe'!T12,1)</f>
        <v>RSVL Gifhorn I</v>
      </c>
      <c r="G40" s="293"/>
      <c r="H40" s="293"/>
      <c r="I40" s="293"/>
      <c r="J40" s="293"/>
      <c r="K40" s="293" t="str">
        <f>REPT('RB Lizene Nr.- Eingabe'!V12,1)</f>
        <v>RCG Hahndorf I</v>
      </c>
      <c r="L40" s="293"/>
      <c r="M40" s="293"/>
      <c r="N40" s="293"/>
      <c r="O40" s="293"/>
      <c r="P40" s="286">
        <v>2</v>
      </c>
      <c r="Q40" s="286"/>
      <c r="R40" s="184" t="s">
        <v>14</v>
      </c>
      <c r="S40" s="282">
        <v>0</v>
      </c>
      <c r="T40" s="283"/>
      <c r="U40" s="297" t="s">
        <v>37</v>
      </c>
      <c r="V40" s="292"/>
      <c r="W40" s="285">
        <f>REPT('RB Lizene Nr.- Eingabe'!T26,1)</f>
      </c>
      <c r="X40" s="285"/>
      <c r="Y40" s="285"/>
      <c r="Z40" s="285"/>
      <c r="AA40" s="285"/>
      <c r="AB40" s="285">
        <f>REPT('RB Lizene Nr.- Eingabe'!V26,1)</f>
      </c>
      <c r="AC40" s="285"/>
      <c r="AD40" s="285"/>
      <c r="AE40" s="285"/>
      <c r="AF40" s="285"/>
      <c r="AG40" s="286"/>
      <c r="AH40" s="286"/>
      <c r="AI40" s="184" t="s">
        <v>14</v>
      </c>
      <c r="AJ40" s="282"/>
      <c r="AK40" s="283"/>
      <c r="AL40" s="182"/>
      <c r="AM40" s="182"/>
      <c r="AN40" s="182"/>
      <c r="AO40" s="182"/>
      <c r="AP40" s="180"/>
    </row>
    <row r="41" spans="4:42" ht="18.75" customHeight="1">
      <c r="D41" s="288" t="s">
        <v>24</v>
      </c>
      <c r="E41" s="289"/>
      <c r="F41" s="295" t="str">
        <f>REPT('RB Lizene Nr.- Eingabe'!T13,1)</f>
        <v>RVS Obernfeld I</v>
      </c>
      <c r="G41" s="295"/>
      <c r="H41" s="295"/>
      <c r="I41" s="295"/>
      <c r="J41" s="295"/>
      <c r="K41" s="294" t="str">
        <f>REPT('RB Lizene Nr.- Eingabe'!V13,1)</f>
        <v>RVM Bilshausen II</v>
      </c>
      <c r="L41" s="294"/>
      <c r="M41" s="294"/>
      <c r="N41" s="294"/>
      <c r="O41" s="294"/>
      <c r="P41" s="286">
        <v>3</v>
      </c>
      <c r="Q41" s="286"/>
      <c r="R41" s="185" t="s">
        <v>14</v>
      </c>
      <c r="S41" s="282">
        <v>2</v>
      </c>
      <c r="T41" s="283"/>
      <c r="U41" s="291" t="s">
        <v>38</v>
      </c>
      <c r="V41" s="292"/>
      <c r="W41" s="285">
        <f>REPT('RB Lizene Nr.- Eingabe'!T27,1)</f>
      </c>
      <c r="X41" s="285"/>
      <c r="Y41" s="285"/>
      <c r="Z41" s="285"/>
      <c r="AA41" s="285"/>
      <c r="AB41" s="285">
        <f>REPT('RB Lizene Nr.- Eingabe'!V27,1)</f>
      </c>
      <c r="AC41" s="285"/>
      <c r="AD41" s="285"/>
      <c r="AE41" s="285"/>
      <c r="AF41" s="285"/>
      <c r="AG41" s="286"/>
      <c r="AH41" s="286"/>
      <c r="AI41" s="185" t="s">
        <v>14</v>
      </c>
      <c r="AJ41" s="282"/>
      <c r="AK41" s="283"/>
      <c r="AL41" s="182"/>
      <c r="AM41" s="182"/>
      <c r="AN41" s="182"/>
      <c r="AO41" s="182"/>
      <c r="AP41" s="180"/>
    </row>
    <row r="42" spans="4:42" ht="18.75" customHeight="1">
      <c r="D42" s="291" t="s">
        <v>25</v>
      </c>
      <c r="E42" s="292"/>
      <c r="F42" s="290">
        <f>REPT('RB Lizene Nr.- Eingabe'!T14,1)</f>
      </c>
      <c r="G42" s="290"/>
      <c r="H42" s="290"/>
      <c r="I42" s="290"/>
      <c r="J42" s="290"/>
      <c r="K42" s="290">
        <f>REPT('RB Lizene Nr.- Eingabe'!V14,1)</f>
      </c>
      <c r="L42" s="290"/>
      <c r="M42" s="290"/>
      <c r="N42" s="290"/>
      <c r="O42" s="290"/>
      <c r="P42" s="286"/>
      <c r="Q42" s="286"/>
      <c r="R42" s="184" t="s">
        <v>14</v>
      </c>
      <c r="S42" s="282"/>
      <c r="T42" s="283"/>
      <c r="U42" s="291" t="s">
        <v>39</v>
      </c>
      <c r="V42" s="292"/>
      <c r="W42" s="285">
        <f>REPT('RB Lizene Nr.- Eingabe'!T28,1)</f>
      </c>
      <c r="X42" s="285"/>
      <c r="Y42" s="285"/>
      <c r="Z42" s="285"/>
      <c r="AA42" s="285"/>
      <c r="AB42" s="285">
        <f>REPT('RB Lizene Nr.- Eingabe'!V28,1)</f>
      </c>
      <c r="AC42" s="285"/>
      <c r="AD42" s="285"/>
      <c r="AE42" s="285"/>
      <c r="AF42" s="285"/>
      <c r="AG42" s="286"/>
      <c r="AH42" s="286"/>
      <c r="AI42" s="184" t="s">
        <v>14</v>
      </c>
      <c r="AJ42" s="282"/>
      <c r="AK42" s="283"/>
      <c r="AL42" s="182"/>
      <c r="AM42" s="182"/>
      <c r="AN42" s="182"/>
      <c r="AO42" s="182"/>
      <c r="AP42" s="180"/>
    </row>
    <row r="43" spans="4:42" ht="18.75" customHeight="1">
      <c r="D43" s="288" t="s">
        <v>26</v>
      </c>
      <c r="E43" s="289"/>
      <c r="F43" s="290">
        <f>REPT('RB Lizene Nr.- Eingabe'!T15,1)</f>
      </c>
      <c r="G43" s="290"/>
      <c r="H43" s="290"/>
      <c r="I43" s="290"/>
      <c r="J43" s="290"/>
      <c r="K43" s="290">
        <f>REPT('RB Lizene Nr.- Eingabe'!V15,1)</f>
      </c>
      <c r="L43" s="290"/>
      <c r="M43" s="290"/>
      <c r="N43" s="290"/>
      <c r="O43" s="290"/>
      <c r="P43" s="286"/>
      <c r="Q43" s="286"/>
      <c r="R43" s="185" t="s">
        <v>14</v>
      </c>
      <c r="S43" s="282"/>
      <c r="T43" s="283"/>
      <c r="U43" s="291" t="s">
        <v>40</v>
      </c>
      <c r="V43" s="292"/>
      <c r="W43" s="285">
        <f>REPT('RB Lizene Nr.- Eingabe'!T29,1)</f>
      </c>
      <c r="X43" s="285"/>
      <c r="Y43" s="285"/>
      <c r="Z43" s="285"/>
      <c r="AA43" s="285"/>
      <c r="AB43" s="285">
        <f>REPT('RB Lizene Nr.- Eingabe'!V29,1)</f>
      </c>
      <c r="AC43" s="285"/>
      <c r="AD43" s="285"/>
      <c r="AE43" s="285"/>
      <c r="AF43" s="285"/>
      <c r="AG43" s="286"/>
      <c r="AH43" s="286"/>
      <c r="AI43" s="185" t="s">
        <v>14</v>
      </c>
      <c r="AJ43" s="282"/>
      <c r="AK43" s="283"/>
      <c r="AL43" s="182"/>
      <c r="AM43" s="182"/>
      <c r="AN43" s="182"/>
      <c r="AO43" s="182"/>
      <c r="AP43" s="180"/>
    </row>
    <row r="44" spans="4:42" ht="18.75" customHeight="1">
      <c r="D44" s="291" t="s">
        <v>27</v>
      </c>
      <c r="E44" s="292"/>
      <c r="F44" s="290">
        <f>REPT('RB Lizene Nr.- Eingabe'!T16,1)</f>
      </c>
      <c r="G44" s="290"/>
      <c r="H44" s="290"/>
      <c r="I44" s="290"/>
      <c r="J44" s="290"/>
      <c r="K44" s="290">
        <f>REPT('RB Lizene Nr.- Eingabe'!V16,1)</f>
      </c>
      <c r="L44" s="290"/>
      <c r="M44" s="290"/>
      <c r="N44" s="290"/>
      <c r="O44" s="290"/>
      <c r="P44" s="286"/>
      <c r="Q44" s="286"/>
      <c r="R44" s="184" t="s">
        <v>14</v>
      </c>
      <c r="S44" s="282"/>
      <c r="T44" s="283"/>
      <c r="U44" s="291" t="s">
        <v>41</v>
      </c>
      <c r="V44" s="292"/>
      <c r="W44" s="285">
        <f>REPT('RB Lizene Nr.- Eingabe'!T30,1)</f>
      </c>
      <c r="X44" s="285"/>
      <c r="Y44" s="285"/>
      <c r="Z44" s="285"/>
      <c r="AA44" s="285"/>
      <c r="AB44" s="285">
        <f>REPT('RB Lizene Nr.- Eingabe'!V30,1)</f>
      </c>
      <c r="AC44" s="285"/>
      <c r="AD44" s="285"/>
      <c r="AE44" s="285"/>
      <c r="AF44" s="285"/>
      <c r="AG44" s="286"/>
      <c r="AH44" s="286"/>
      <c r="AI44" s="184" t="s">
        <v>14</v>
      </c>
      <c r="AJ44" s="282"/>
      <c r="AK44" s="283"/>
      <c r="AL44" s="182"/>
      <c r="AM44" s="182"/>
      <c r="AN44" s="182"/>
      <c r="AO44" s="182"/>
      <c r="AP44" s="180"/>
    </row>
    <row r="45" spans="4:42" ht="18.75" customHeight="1" thickBot="1">
      <c r="D45" s="279" t="s">
        <v>28</v>
      </c>
      <c r="E45" s="280"/>
      <c r="F45" s="287">
        <f>REPT('RB Lizene Nr.- Eingabe'!T17,1)</f>
      </c>
      <c r="G45" s="287"/>
      <c r="H45" s="287"/>
      <c r="I45" s="287"/>
      <c r="J45" s="287"/>
      <c r="K45" s="287">
        <f>REPT('RB Lizene Nr.- Eingabe'!V17,1)</f>
      </c>
      <c r="L45" s="287"/>
      <c r="M45" s="287"/>
      <c r="N45" s="287"/>
      <c r="O45" s="287"/>
      <c r="P45" s="275"/>
      <c r="Q45" s="275"/>
      <c r="R45" s="186" t="s">
        <v>14</v>
      </c>
      <c r="S45" s="276"/>
      <c r="T45" s="277"/>
      <c r="U45" s="279" t="s">
        <v>42</v>
      </c>
      <c r="V45" s="280"/>
      <c r="W45" s="281">
        <f>REPT('RB Lizene Nr.- Eingabe'!T31,1)</f>
      </c>
      <c r="X45" s="281"/>
      <c r="Y45" s="281"/>
      <c r="Z45" s="281"/>
      <c r="AA45" s="281"/>
      <c r="AB45" s="281">
        <f>REPT('RB Lizene Nr.- Eingabe'!V31,1)</f>
      </c>
      <c r="AC45" s="281"/>
      <c r="AD45" s="281"/>
      <c r="AE45" s="281"/>
      <c r="AF45" s="281"/>
      <c r="AG45" s="275"/>
      <c r="AH45" s="275"/>
      <c r="AI45" s="187" t="s">
        <v>14</v>
      </c>
      <c r="AJ45" s="276"/>
      <c r="AK45" s="277"/>
      <c r="AL45" s="182"/>
      <c r="AM45" s="182"/>
      <c r="AN45" s="182"/>
      <c r="AO45" s="182"/>
      <c r="AP45" s="180"/>
    </row>
    <row r="46" spans="4:42" ht="15">
      <c r="D46" s="163" t="s">
        <v>155</v>
      </c>
      <c r="E46" s="176"/>
      <c r="F46" s="176"/>
      <c r="G46" s="176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174"/>
      <c r="AM46" s="174"/>
      <c r="AN46" s="174"/>
      <c r="AO46" s="174"/>
      <c r="AP46" s="174"/>
    </row>
    <row r="47" spans="4:42" ht="15">
      <c r="D47" s="163" t="s">
        <v>154</v>
      </c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174"/>
      <c r="AM47" s="174"/>
      <c r="AN47" s="174"/>
      <c r="AO47" s="174"/>
      <c r="AP47" s="174"/>
    </row>
    <row r="48" spans="4:42" ht="15">
      <c r="D48" s="188"/>
      <c r="J48" s="284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174"/>
      <c r="AM48" s="174"/>
      <c r="AN48" s="174"/>
      <c r="AO48" s="174"/>
      <c r="AP48" s="174"/>
    </row>
    <row r="49" spans="4:42" ht="14.25">
      <c r="D49" s="172" t="s">
        <v>13</v>
      </c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174"/>
      <c r="AM49" s="174"/>
      <c r="AN49" s="174"/>
      <c r="AO49" s="174"/>
      <c r="AP49" s="174"/>
    </row>
    <row r="50" spans="4:12" ht="12" customHeight="1">
      <c r="D50" s="188"/>
      <c r="L50" s="189" t="s">
        <v>48</v>
      </c>
    </row>
    <row r="51" spans="4:42" ht="16.5">
      <c r="D51" s="190" t="s">
        <v>161</v>
      </c>
      <c r="AL51" s="154"/>
      <c r="AM51" s="154"/>
      <c r="AN51" s="154"/>
      <c r="AO51" s="154"/>
      <c r="AP51" s="154"/>
    </row>
    <row r="52" spans="4:42" ht="18.75" customHeight="1">
      <c r="D52" s="188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6"/>
      <c r="Z52" s="196"/>
      <c r="AA52" s="196"/>
      <c r="AD52" s="274"/>
      <c r="AE52" s="274"/>
      <c r="AF52" s="274"/>
      <c r="AG52" s="274"/>
      <c r="AH52" s="274"/>
      <c r="AI52" s="274"/>
      <c r="AJ52" s="274"/>
      <c r="AK52" s="274"/>
      <c r="AL52" s="154"/>
      <c r="AM52" s="154"/>
      <c r="AN52" s="154"/>
      <c r="AO52" s="154"/>
      <c r="AP52" s="154"/>
    </row>
    <row r="53" spans="10:27" ht="18.75" customHeight="1"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5"/>
      <c r="V53" s="194"/>
      <c r="W53" s="194"/>
      <c r="X53" s="194"/>
      <c r="Y53" s="196"/>
      <c r="Z53" s="196"/>
      <c r="AA53" s="196"/>
    </row>
  </sheetData>
  <sheetProtection/>
  <mergeCells count="276">
    <mergeCell ref="AI17:AK18"/>
    <mergeCell ref="AP17:AT17"/>
    <mergeCell ref="AC17:AE18"/>
    <mergeCell ref="AP14:AT14"/>
    <mergeCell ref="AI14:AK14"/>
    <mergeCell ref="AP15:AT15"/>
    <mergeCell ref="AG15:AG16"/>
    <mergeCell ref="AH15:AH16"/>
    <mergeCell ref="AI15:AK16"/>
    <mergeCell ref="AP16:AT16"/>
    <mergeCell ref="K16:S16"/>
    <mergeCell ref="D14:J14"/>
    <mergeCell ref="K14:S14"/>
    <mergeCell ref="Y15:AB15"/>
    <mergeCell ref="Y16:AB16"/>
    <mergeCell ref="Y17:AB17"/>
    <mergeCell ref="D3:AC4"/>
    <mergeCell ref="AC14:AE14"/>
    <mergeCell ref="O6:AL6"/>
    <mergeCell ref="T15:X15"/>
    <mergeCell ref="T14:X14"/>
    <mergeCell ref="D15:J16"/>
    <mergeCell ref="K15:S15"/>
    <mergeCell ref="AC13:AE13"/>
    <mergeCell ref="T12:AB12"/>
    <mergeCell ref="AC12:AE12"/>
    <mergeCell ref="D8:S8"/>
    <mergeCell ref="D12:S12"/>
    <mergeCell ref="T16:X16"/>
    <mergeCell ref="AC15:AE16"/>
    <mergeCell ref="D17:J18"/>
    <mergeCell ref="K17:S17"/>
    <mergeCell ref="K18:S18"/>
    <mergeCell ref="T13:AB13"/>
    <mergeCell ref="Y14:AB14"/>
    <mergeCell ref="D13:S13"/>
    <mergeCell ref="Y20:AB20"/>
    <mergeCell ref="AC19:AE20"/>
    <mergeCell ref="Y19:AB19"/>
    <mergeCell ref="AF14:AH14"/>
    <mergeCell ref="T17:X17"/>
    <mergeCell ref="AH19:AH20"/>
    <mergeCell ref="AG17:AG18"/>
    <mergeCell ref="AH17:AH18"/>
    <mergeCell ref="AF15:AF16"/>
    <mergeCell ref="AI21:AK22"/>
    <mergeCell ref="AP18:AT18"/>
    <mergeCell ref="Y18:AB18"/>
    <mergeCell ref="AF17:AF18"/>
    <mergeCell ref="D19:J20"/>
    <mergeCell ref="K19:S19"/>
    <mergeCell ref="K20:S20"/>
    <mergeCell ref="AF19:AF20"/>
    <mergeCell ref="T19:X19"/>
    <mergeCell ref="T20:X20"/>
    <mergeCell ref="AI23:AK24"/>
    <mergeCell ref="AP24:AT24"/>
    <mergeCell ref="AP19:AT19"/>
    <mergeCell ref="AP20:AT20"/>
    <mergeCell ref="T18:X18"/>
    <mergeCell ref="AP22:AT22"/>
    <mergeCell ref="Y22:AB22"/>
    <mergeCell ref="AF21:AF22"/>
    <mergeCell ref="AI19:AK20"/>
    <mergeCell ref="AG19:AG20"/>
    <mergeCell ref="AP21:AT21"/>
    <mergeCell ref="Y21:AB21"/>
    <mergeCell ref="AG21:AG22"/>
    <mergeCell ref="AC21:AE22"/>
    <mergeCell ref="AP25:AT25"/>
    <mergeCell ref="AG25:AG26"/>
    <mergeCell ref="AH25:AH26"/>
    <mergeCell ref="AI25:AK26"/>
    <mergeCell ref="AP26:AT26"/>
    <mergeCell ref="AP23:AT23"/>
    <mergeCell ref="Y23:AB23"/>
    <mergeCell ref="T24:X24"/>
    <mergeCell ref="T23:X23"/>
    <mergeCell ref="AC23:AE24"/>
    <mergeCell ref="D21:J22"/>
    <mergeCell ref="K21:S21"/>
    <mergeCell ref="AG23:AG24"/>
    <mergeCell ref="AC25:AE26"/>
    <mergeCell ref="AF23:AF24"/>
    <mergeCell ref="AF25:AF26"/>
    <mergeCell ref="AH23:AH24"/>
    <mergeCell ref="K22:S22"/>
    <mergeCell ref="AH21:AH22"/>
    <mergeCell ref="T21:X21"/>
    <mergeCell ref="T22:X22"/>
    <mergeCell ref="Y24:AB24"/>
    <mergeCell ref="K25:S25"/>
    <mergeCell ref="K26:S26"/>
    <mergeCell ref="T26:X26"/>
    <mergeCell ref="D27:J28"/>
    <mergeCell ref="T27:X27"/>
    <mergeCell ref="Y25:AB25"/>
    <mergeCell ref="T25:X25"/>
    <mergeCell ref="Y26:AB26"/>
    <mergeCell ref="AP28:AT28"/>
    <mergeCell ref="Y28:AB28"/>
    <mergeCell ref="AF27:AF28"/>
    <mergeCell ref="Y27:AB27"/>
    <mergeCell ref="AP27:AT27"/>
    <mergeCell ref="D23:J24"/>
    <mergeCell ref="K23:S23"/>
    <mergeCell ref="K24:S24"/>
    <mergeCell ref="AC27:AE28"/>
    <mergeCell ref="D25:J26"/>
    <mergeCell ref="AG32:AH32"/>
    <mergeCell ref="AJ32:AK32"/>
    <mergeCell ref="AG29:AG30"/>
    <mergeCell ref="AH29:AH30"/>
    <mergeCell ref="T28:X28"/>
    <mergeCell ref="K28:S28"/>
    <mergeCell ref="AG27:AG28"/>
    <mergeCell ref="AH27:AH28"/>
    <mergeCell ref="K27:S27"/>
    <mergeCell ref="AI27:AK28"/>
    <mergeCell ref="P33:Q33"/>
    <mergeCell ref="D32:E32"/>
    <mergeCell ref="F32:J32"/>
    <mergeCell ref="K32:O32"/>
    <mergeCell ref="P32:Q32"/>
    <mergeCell ref="AP30:AT30"/>
    <mergeCell ref="S32:T32"/>
    <mergeCell ref="U32:V32"/>
    <mergeCell ref="W32:AA32"/>
    <mergeCell ref="AB32:AF32"/>
    <mergeCell ref="Y30:AB30"/>
    <mergeCell ref="AF29:AF30"/>
    <mergeCell ref="AC29:AE30"/>
    <mergeCell ref="S33:T33"/>
    <mergeCell ref="U33:V33"/>
    <mergeCell ref="D29:J30"/>
    <mergeCell ref="K29:S29"/>
    <mergeCell ref="K30:S30"/>
    <mergeCell ref="D33:E33"/>
    <mergeCell ref="F33:J33"/>
    <mergeCell ref="AP29:AT29"/>
    <mergeCell ref="Y29:AB29"/>
    <mergeCell ref="AG33:AH33"/>
    <mergeCell ref="AI29:AK30"/>
    <mergeCell ref="AI31:AK31"/>
    <mergeCell ref="T29:X29"/>
    <mergeCell ref="T30:X30"/>
    <mergeCell ref="W33:AA33"/>
    <mergeCell ref="AB33:AF33"/>
    <mergeCell ref="AB31:AG31"/>
    <mergeCell ref="D35:E35"/>
    <mergeCell ref="F35:J35"/>
    <mergeCell ref="W35:AA35"/>
    <mergeCell ref="AB35:AF35"/>
    <mergeCell ref="W34:AA34"/>
    <mergeCell ref="AB34:AF34"/>
    <mergeCell ref="AJ33:AK33"/>
    <mergeCell ref="D34:E34"/>
    <mergeCell ref="F34:J34"/>
    <mergeCell ref="K34:O34"/>
    <mergeCell ref="P34:Q34"/>
    <mergeCell ref="S34:T34"/>
    <mergeCell ref="U34:V34"/>
    <mergeCell ref="AG34:AH34"/>
    <mergeCell ref="AJ34:AK34"/>
    <mergeCell ref="K33:O33"/>
    <mergeCell ref="W38:AA38"/>
    <mergeCell ref="W37:AA37"/>
    <mergeCell ref="AJ35:AK35"/>
    <mergeCell ref="K35:O35"/>
    <mergeCell ref="P35:Q35"/>
    <mergeCell ref="S35:T35"/>
    <mergeCell ref="U35:V35"/>
    <mergeCell ref="AJ36:AK36"/>
    <mergeCell ref="AG35:AH35"/>
    <mergeCell ref="S36:T36"/>
    <mergeCell ref="U36:V36"/>
    <mergeCell ref="AG37:AH37"/>
    <mergeCell ref="W36:AA36"/>
    <mergeCell ref="AB36:AF36"/>
    <mergeCell ref="AG36:AH36"/>
    <mergeCell ref="S37:T37"/>
    <mergeCell ref="U37:V37"/>
    <mergeCell ref="AJ37:AK37"/>
    <mergeCell ref="AG38:AH38"/>
    <mergeCell ref="AJ38:AK38"/>
    <mergeCell ref="AB38:AF38"/>
    <mergeCell ref="AB37:AF37"/>
    <mergeCell ref="D36:E36"/>
    <mergeCell ref="F36:J36"/>
    <mergeCell ref="K36:O36"/>
    <mergeCell ref="P36:Q36"/>
    <mergeCell ref="F38:J38"/>
    <mergeCell ref="D38:E38"/>
    <mergeCell ref="K38:O38"/>
    <mergeCell ref="P38:Q38"/>
    <mergeCell ref="S38:T38"/>
    <mergeCell ref="U38:V38"/>
    <mergeCell ref="D37:E37"/>
    <mergeCell ref="F37:J37"/>
    <mergeCell ref="K37:O37"/>
    <mergeCell ref="P37:Q37"/>
    <mergeCell ref="AB41:AF41"/>
    <mergeCell ref="W40:AA40"/>
    <mergeCell ref="AB40:AF40"/>
    <mergeCell ref="W39:AA39"/>
    <mergeCell ref="AB39:AF39"/>
    <mergeCell ref="S40:T40"/>
    <mergeCell ref="U40:V40"/>
    <mergeCell ref="D41:E41"/>
    <mergeCell ref="F41:J41"/>
    <mergeCell ref="D40:E40"/>
    <mergeCell ref="F40:J40"/>
    <mergeCell ref="S39:T39"/>
    <mergeCell ref="U39:V39"/>
    <mergeCell ref="D39:E39"/>
    <mergeCell ref="F39:J39"/>
    <mergeCell ref="K39:O39"/>
    <mergeCell ref="P39:Q39"/>
    <mergeCell ref="K40:O40"/>
    <mergeCell ref="P40:Q40"/>
    <mergeCell ref="AG42:AH42"/>
    <mergeCell ref="AJ42:AK42"/>
    <mergeCell ref="AG41:AH41"/>
    <mergeCell ref="AJ41:AK41"/>
    <mergeCell ref="K41:O41"/>
    <mergeCell ref="P41:Q41"/>
    <mergeCell ref="S41:T41"/>
    <mergeCell ref="U41:V41"/>
    <mergeCell ref="AB42:AF42"/>
    <mergeCell ref="S42:T42"/>
    <mergeCell ref="U42:V42"/>
    <mergeCell ref="S43:T43"/>
    <mergeCell ref="U43:V43"/>
    <mergeCell ref="AJ39:AK39"/>
    <mergeCell ref="AG40:AH40"/>
    <mergeCell ref="AJ40:AK40"/>
    <mergeCell ref="AG39:AH39"/>
    <mergeCell ref="W41:AA41"/>
    <mergeCell ref="AJ43:AK43"/>
    <mergeCell ref="D44:E44"/>
    <mergeCell ref="F44:J44"/>
    <mergeCell ref="K44:O44"/>
    <mergeCell ref="P44:Q44"/>
    <mergeCell ref="S44:T44"/>
    <mergeCell ref="U44:V44"/>
    <mergeCell ref="AG44:AH44"/>
    <mergeCell ref="W43:AA43"/>
    <mergeCell ref="AB43:AF43"/>
    <mergeCell ref="F43:J43"/>
    <mergeCell ref="K43:O43"/>
    <mergeCell ref="P43:Q43"/>
    <mergeCell ref="W45:AA45"/>
    <mergeCell ref="D42:E42"/>
    <mergeCell ref="F42:J42"/>
    <mergeCell ref="K42:O42"/>
    <mergeCell ref="P42:Q42"/>
    <mergeCell ref="W42:AA42"/>
    <mergeCell ref="AJ44:AK44"/>
    <mergeCell ref="J48:AK48"/>
    <mergeCell ref="W44:AA44"/>
    <mergeCell ref="AB44:AF44"/>
    <mergeCell ref="AG43:AH43"/>
    <mergeCell ref="D45:E45"/>
    <mergeCell ref="F45:J45"/>
    <mergeCell ref="K45:O45"/>
    <mergeCell ref="P45:Q45"/>
    <mergeCell ref="D43:E43"/>
    <mergeCell ref="AD52:AK52"/>
    <mergeCell ref="AG45:AH45"/>
    <mergeCell ref="AJ45:AK45"/>
    <mergeCell ref="J46:AK46"/>
    <mergeCell ref="J47:AK47"/>
    <mergeCell ref="S45:T45"/>
    <mergeCell ref="U45:V45"/>
    <mergeCell ref="J49:AK49"/>
    <mergeCell ref="AB45:AF45"/>
  </mergeCells>
  <conditionalFormatting sqref="D29:J30">
    <cfRule type="expression" priority="1" dxfId="13" stopIfTrue="1">
      <formula>$D$29="Zugehörigkeit"</formula>
    </cfRule>
    <cfRule type="expression" priority="2" dxfId="0" stopIfTrue="1">
      <formula>$D$29=0</formula>
    </cfRule>
  </conditionalFormatting>
  <conditionalFormatting sqref="D27:J28">
    <cfRule type="expression" priority="3" dxfId="13" stopIfTrue="1">
      <formula>$D$27="Zugehörigkeit"</formula>
    </cfRule>
    <cfRule type="expression" priority="4" dxfId="0" stopIfTrue="1">
      <formula>$D$27=0</formula>
    </cfRule>
  </conditionalFormatting>
  <conditionalFormatting sqref="D25:J26">
    <cfRule type="expression" priority="5" dxfId="13" stopIfTrue="1">
      <formula>$D$25="Zugehörigkeit"</formula>
    </cfRule>
    <cfRule type="expression" priority="6" dxfId="0" stopIfTrue="1">
      <formula>$D$25=0</formula>
    </cfRule>
  </conditionalFormatting>
  <conditionalFormatting sqref="D23:J24">
    <cfRule type="expression" priority="7" dxfId="13" stopIfTrue="1">
      <formula>$D$23="Zugehörigkeit"</formula>
    </cfRule>
    <cfRule type="expression" priority="8" dxfId="0" stopIfTrue="1">
      <formula>$D$23=0</formula>
    </cfRule>
  </conditionalFormatting>
  <conditionalFormatting sqref="D21:J22">
    <cfRule type="expression" priority="9" dxfId="13" stopIfTrue="1">
      <formula>$D$21="Zugehörigkeit"</formula>
    </cfRule>
    <cfRule type="expression" priority="10" dxfId="0" stopIfTrue="1">
      <formula>$D$21=0</formula>
    </cfRule>
  </conditionalFormatting>
  <conditionalFormatting sqref="D19:J20">
    <cfRule type="expression" priority="11" dxfId="13" stopIfTrue="1">
      <formula>$D$19="Zugehörigkeit"</formula>
    </cfRule>
    <cfRule type="expression" priority="12" dxfId="0" stopIfTrue="1">
      <formula>$D$19=0</formula>
    </cfRule>
  </conditionalFormatting>
  <conditionalFormatting sqref="D17:J18">
    <cfRule type="expression" priority="13" dxfId="13" stopIfTrue="1">
      <formula>$D$17="Zugehörigkeit"</formula>
    </cfRule>
    <cfRule type="expression" priority="14" dxfId="0" stopIfTrue="1">
      <formula>$D$17=0</formula>
    </cfRule>
  </conditionalFormatting>
  <conditionalFormatting sqref="D15:J16">
    <cfRule type="expression" priority="15" dxfId="13" stopIfTrue="1">
      <formula>$D$15="Zugehörigkeit"</formula>
    </cfRule>
    <cfRule type="expression" priority="16" dxfId="0" stopIfTrue="1">
      <formula>$D$15=0</formula>
    </cfRule>
  </conditionalFormatting>
  <conditionalFormatting sqref="AP15:AP16">
    <cfRule type="expression" priority="17" dxfId="14" stopIfTrue="1">
      <formula>BH16=1</formula>
    </cfRule>
    <cfRule type="expression" priority="18" dxfId="13" stopIfTrue="1">
      <formula>BH16=0</formula>
    </cfRule>
  </conditionalFormatting>
  <conditionalFormatting sqref="AP17:AP18">
    <cfRule type="expression" priority="19" dxfId="14" stopIfTrue="1">
      <formula>BH19=1</formula>
    </cfRule>
    <cfRule type="expression" priority="20" dxfId="13" stopIfTrue="1">
      <formula>BH19=0</formula>
    </cfRule>
  </conditionalFormatting>
  <conditionalFormatting sqref="AP19:AP20">
    <cfRule type="expression" priority="21" dxfId="14" stopIfTrue="1">
      <formula>BH22=1</formula>
    </cfRule>
    <cfRule type="expression" priority="22" dxfId="13" stopIfTrue="1">
      <formula>BH22=0</formula>
    </cfRule>
  </conditionalFormatting>
  <conditionalFormatting sqref="AP21:AP22">
    <cfRule type="expression" priority="23" dxfId="14" stopIfTrue="1">
      <formula>BH25=1</formula>
    </cfRule>
    <cfRule type="expression" priority="24" dxfId="13" stopIfTrue="1">
      <formula>BH25=0</formula>
    </cfRule>
  </conditionalFormatting>
  <conditionalFormatting sqref="AP23:AP24">
    <cfRule type="expression" priority="25" dxfId="14" stopIfTrue="1">
      <formula>BH28=1</formula>
    </cfRule>
    <cfRule type="expression" priority="26" dxfId="13" stopIfTrue="1">
      <formula>BH28=0</formula>
    </cfRule>
  </conditionalFormatting>
  <conditionalFormatting sqref="AP25:AP26">
    <cfRule type="expression" priority="27" dxfId="14" stopIfTrue="1">
      <formula>BH31=1</formula>
    </cfRule>
    <cfRule type="expression" priority="28" dxfId="13" stopIfTrue="1">
      <formula>BH31=0</formula>
    </cfRule>
  </conditionalFormatting>
  <conditionalFormatting sqref="AP27:AP28">
    <cfRule type="expression" priority="29" dxfId="14" stopIfTrue="1">
      <formula>BH34=1</formula>
    </cfRule>
    <cfRule type="expression" priority="30" dxfId="13" stopIfTrue="1">
      <formula>BH34=0</formula>
    </cfRule>
  </conditionalFormatting>
  <conditionalFormatting sqref="AP29:AP30">
    <cfRule type="expression" priority="31" dxfId="14" stopIfTrue="1">
      <formula>BH37=1</formula>
    </cfRule>
    <cfRule type="expression" priority="32" dxfId="13" stopIfTrue="1">
      <formula>BH37=0</formula>
    </cfRule>
  </conditionalFormatting>
  <printOptions horizontalCentered="1" verticalCentered="1"/>
  <pageMargins left="0.3937007874015748" right="0.1968503937007874" top="0.3937007874015748" bottom="0.1968503937007874" header="0" footer="0"/>
  <pageSetup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BO107"/>
  <sheetViews>
    <sheetView zoomScale="75" zoomScaleNormal="75" zoomScalePageLayoutView="0" workbookViewId="0" topLeftCell="A1">
      <selection activeCell="I62" sqref="I62"/>
    </sheetView>
  </sheetViews>
  <sheetFormatPr defaultColWidth="11.421875" defaultRowHeight="12.75"/>
  <cols>
    <col min="1" max="1" width="2.7109375" style="1" customWidth="1"/>
    <col min="2" max="55" width="2.8515625" style="1" customWidth="1"/>
    <col min="56" max="56" width="1.7109375" style="1" customWidth="1"/>
    <col min="57" max="60" width="2.8515625" style="1" customWidth="1"/>
    <col min="61" max="61" width="1.7109375" style="1" customWidth="1"/>
    <col min="62" max="65" width="2.8515625" style="1" customWidth="1"/>
    <col min="66" max="66" width="2.7109375" style="1" customWidth="1"/>
    <col min="67" max="16384" width="11.421875" style="1" customWidth="1"/>
  </cols>
  <sheetData>
    <row r="1" ht="12" customHeight="1" thickBot="1"/>
    <row r="2" spans="1:65" ht="10.5" customHeight="1" thickBot="1">
      <c r="A2" s="5"/>
      <c r="B2" s="540" t="s">
        <v>49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0" t="s">
        <v>50</v>
      </c>
      <c r="S2" s="541"/>
      <c r="T2" s="541"/>
      <c r="U2" s="541"/>
      <c r="V2" s="541"/>
      <c r="W2" s="541"/>
      <c r="X2" s="540" t="s">
        <v>51</v>
      </c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2"/>
      <c r="BE2" s="498" t="str">
        <f>C52</f>
        <v>RVS Obernfeld I</v>
      </c>
      <c r="BF2" s="499"/>
      <c r="BG2" s="499"/>
      <c r="BH2" s="500"/>
      <c r="BI2" s="17"/>
      <c r="BJ2" s="498" t="str">
        <f>C53</f>
        <v>RVM Bilshausen II</v>
      </c>
      <c r="BK2" s="499"/>
      <c r="BL2" s="499"/>
      <c r="BM2" s="500"/>
    </row>
    <row r="3" spans="1:65" ht="9.75" customHeight="1" thickBot="1">
      <c r="A3" s="3"/>
      <c r="B3" s="23">
        <v>3</v>
      </c>
      <c r="C3" s="24">
        <v>30</v>
      </c>
      <c r="D3" s="23">
        <v>4</v>
      </c>
      <c r="E3" s="24">
        <v>40</v>
      </c>
      <c r="F3" s="23">
        <v>5</v>
      </c>
      <c r="G3" s="25">
        <v>50</v>
      </c>
      <c r="H3" s="23">
        <v>6</v>
      </c>
      <c r="I3" s="24">
        <v>60</v>
      </c>
      <c r="J3" s="23">
        <v>7</v>
      </c>
      <c r="K3" s="24">
        <v>70</v>
      </c>
      <c r="L3" s="23">
        <v>8</v>
      </c>
      <c r="M3" s="24">
        <v>80</v>
      </c>
      <c r="N3" s="23">
        <v>9</v>
      </c>
      <c r="O3" s="24">
        <v>90</v>
      </c>
      <c r="P3" s="26">
        <v>10</v>
      </c>
      <c r="Q3" s="24">
        <v>100</v>
      </c>
      <c r="R3" s="533" t="s">
        <v>1</v>
      </c>
      <c r="S3" s="534"/>
      <c r="T3" s="533" t="s">
        <v>8</v>
      </c>
      <c r="U3" s="535"/>
      <c r="V3" s="535"/>
      <c r="W3" s="535"/>
      <c r="X3" s="501" t="s">
        <v>0</v>
      </c>
      <c r="Y3" s="505"/>
      <c r="AA3" s="536" t="str">
        <f>'Lizenz Nr.- Eingabe'!D15</f>
        <v>RVS Obernfeld I</v>
      </c>
      <c r="AB3" s="537"/>
      <c r="AD3" s="501" t="str">
        <f>'Lizenz Nr.- Eingabe'!D17</f>
        <v>RVM Bilshausen II</v>
      </c>
      <c r="AE3" s="505"/>
      <c r="AG3" s="536" t="str">
        <f>'Lizenz Nr.- Eingabe'!D19</f>
        <v>RSVL Gifhorn I</v>
      </c>
      <c r="AH3" s="537"/>
      <c r="AJ3" s="501" t="str">
        <f>'Lizenz Nr.- Eingabe'!D21</f>
        <v>RCG Hahndorf I</v>
      </c>
      <c r="AK3" s="505"/>
      <c r="AM3" s="536" t="str">
        <f>'Lizenz Nr.- Eingabe'!D23</f>
        <v>RVS Obernfeld II</v>
      </c>
      <c r="AN3" s="537"/>
      <c r="AP3" s="501">
        <f>'Lizenz Nr.- Eingabe'!D25</f>
        <v>0</v>
      </c>
      <c r="AQ3" s="505"/>
      <c r="AS3" s="536">
        <f>'Lizenz Nr.- Eingabe'!D27</f>
        <v>0</v>
      </c>
      <c r="AT3" s="537"/>
      <c r="AV3" s="501">
        <f>'Lizenz Nr.- Eingabe'!D29</f>
        <v>0</v>
      </c>
      <c r="AW3" s="505"/>
      <c r="AX3" s="17"/>
      <c r="AY3" s="536">
        <f>C13</f>
        <v>0</v>
      </c>
      <c r="AZ3" s="537"/>
      <c r="BB3" s="501">
        <f>C13</f>
        <v>0</v>
      </c>
      <c r="BC3" s="505"/>
      <c r="BE3" s="27">
        <f>IF(Z48&gt;0,VLOOKUP(1,$Z$4:$AB$48,2,FALSE),"")</f>
        <v>6</v>
      </c>
      <c r="BF3" s="28">
        <f>IF(Z48&gt;0,VLOOKUP(1,$Z$4:$AB$48,3,FALSE),"")</f>
        <v>1</v>
      </c>
      <c r="BG3" s="27">
        <f>IF(ISNUMBER(BF3),IF(BE3=BF3,1,IF(BE3&gt;BF3,$BB$52,0)),"")</f>
        <v>3</v>
      </c>
      <c r="BH3" s="89">
        <f>IF(ISNUMBER(BF3),IF(BE3=BF3,1,IF(BE3&lt;BF3,$BB$52,0)),"")</f>
        <v>0</v>
      </c>
      <c r="BI3" s="17"/>
      <c r="BJ3" s="27">
        <f>IF(AC48&gt;0,VLOOKUP(1,AC4:AE48,2,FALSE),"")</f>
        <v>3</v>
      </c>
      <c r="BK3" s="28">
        <f>IF(AC48&gt;0,VLOOKUP(1,AC4:AE48,3,FALSE),"")</f>
        <v>1</v>
      </c>
      <c r="BL3" s="27">
        <f>IF(ISNUMBER(BK3),IF(BJ3=BK3,1,IF(BJ3&gt;BK3,$BB$52,0)),"")</f>
        <v>3</v>
      </c>
      <c r="BM3" s="89">
        <f>IF(ISNUMBER(BK3),IF(BJ3=BK3,1,IF(BJ3&lt;BK3,$BB$52,0)),"")</f>
        <v>0</v>
      </c>
    </row>
    <row r="4" spans="1:65" ht="9.75" customHeight="1">
      <c r="A4" s="3"/>
      <c r="B4" s="30">
        <v>1</v>
      </c>
      <c r="C4" s="31">
        <v>3</v>
      </c>
      <c r="D4" s="30">
        <v>1</v>
      </c>
      <c r="E4" s="31">
        <v>4</v>
      </c>
      <c r="F4" s="30">
        <v>1</v>
      </c>
      <c r="G4" s="31">
        <v>5</v>
      </c>
      <c r="H4" s="30">
        <v>1</v>
      </c>
      <c r="I4" s="31">
        <v>6</v>
      </c>
      <c r="J4" s="30">
        <v>1</v>
      </c>
      <c r="K4" s="31">
        <v>7</v>
      </c>
      <c r="L4" s="30">
        <v>1</v>
      </c>
      <c r="M4" s="31">
        <v>8</v>
      </c>
      <c r="N4" s="30">
        <v>5</v>
      </c>
      <c r="O4" s="31">
        <v>8</v>
      </c>
      <c r="P4" s="30">
        <v>3</v>
      </c>
      <c r="Q4" s="31">
        <v>5</v>
      </c>
      <c r="R4" s="32">
        <f>IF($AT$52&gt;2,HLOOKUP($AT$52,$B$3:$Q$48,2,FALSE),0)</f>
        <v>1</v>
      </c>
      <c r="S4" s="33">
        <f>IF($AT$52&gt;2,HLOOKUP($AT$57,$B$3:$Q$48,2,FALSE),0)</f>
        <v>5</v>
      </c>
      <c r="T4" s="543" t="str">
        <f>IF(R4&gt;0,VLOOKUP(R4,$B$52:$E$61,2,FALSE),"")</f>
        <v>RVS Obernfeld I</v>
      </c>
      <c r="U4" s="544"/>
      <c r="V4" s="545" t="str">
        <f>IF(S4&gt;0,VLOOKUP(S4,$B$52:$E$61,2,FALSE),"")</f>
        <v>RVS Obernfeld II</v>
      </c>
      <c r="W4" s="545"/>
      <c r="X4" s="34">
        <f>IF(ISNUMBER(Y4),'Lizenz Nr.- Eingabe'!P32,"")</f>
        <v>6</v>
      </c>
      <c r="Y4" s="35">
        <f>IF(OR('Lizenz Nr.- Eingabe'!S32="x",ISNUMBER('Lizenz Nr.- Eingabe'!S32)),'Lizenz Nr.- Eingabe'!S32,"")</f>
        <v>1</v>
      </c>
      <c r="Z4" s="6">
        <f>IF(ISNUMBER(AB4),1,0)</f>
        <v>1</v>
      </c>
      <c r="AA4" s="36">
        <f>IF(AND(Y4="x",OR($AA$3=T4,$AA$3=V4)),0,IF($AA$3=T4,X4,IF($AA$3=V4,Y4,"")))</f>
        <v>6</v>
      </c>
      <c r="AB4" s="37">
        <f aca="true" t="shared" si="0" ref="AB4:AB48">IF(AND(Y4="x",OR($AA$3=T4,$AA$3=V4)),5,IF($AA$3=T4,Y4,IF($AA$3=V4,X4,"")))</f>
        <v>1</v>
      </c>
      <c r="AC4" s="6">
        <f>IF(ISNUMBER(AE4),1,0)</f>
        <v>0</v>
      </c>
      <c r="AD4" s="38">
        <f aca="true" t="shared" si="1" ref="AD4:AD48">IF(AND(Y4="x",OR($AD$3=T4,$AD$3=V4)),0,IF($AD$3=T4,X4,IF($AD$3=V4,Y4,"")))</f>
      </c>
      <c r="AE4" s="39">
        <f aca="true" t="shared" si="2" ref="AE4:AE48">IF(AND(Y4="x",OR($AD$3=T4,$AD$3=V4)),5,IF($AD$3=T4,Y4,IF($AD$3=V4,X4,"")))</f>
      </c>
      <c r="AF4" s="6">
        <f>IF(ISNUMBER(AH4),1,0)</f>
        <v>0</v>
      </c>
      <c r="AG4" s="40">
        <f aca="true" t="shared" si="3" ref="AG4:AG48">IF(AND(Y4="x",OR($AG$3=T4,$AG$3=V4)),0,IF($AG$3=T4,X4,IF($AG$3=V4,Y4,"")))</f>
      </c>
      <c r="AH4" s="37">
        <f aca="true" t="shared" si="4" ref="AH4:AH48">IF(AND(Y4="x",OR($AG$3=T4,$AG$3=V4)),5,IF($AG$3=T4,Y4,IF($AG$3=V4,X4,"")))</f>
      </c>
      <c r="AI4" s="6">
        <f>IF(ISNUMBER(AK4),1,0)</f>
        <v>0</v>
      </c>
      <c r="AJ4" s="38">
        <f aca="true" t="shared" si="5" ref="AJ4:AJ48">IF(AND(Y4="x",OR($AJ$3=T4,$AJ$3=V4)),0,IF($AJ$3=T4,X4,IF($AJ$3=V4,Y4,"")))</f>
      </c>
      <c r="AK4" s="39">
        <f aca="true" t="shared" si="6" ref="AK4:AK48">IF(AND(Y4="x",OR($AJ$3=T4,$AJ$3=V4)),5,IF($AJ$3=T4,Y4,IF($AJ$3=V4,X4,"")))</f>
      </c>
      <c r="AL4" s="6">
        <f>IF(ISNUMBER(AN4),1,0)</f>
        <v>1</v>
      </c>
      <c r="AM4" s="40">
        <f aca="true" t="shared" si="7" ref="AM4:AM48">IF(AND(Y4="x",OR($AM$3=T4,$AM$3=V4)),0,IF($AM$3=T4,X4,IF($AM$3=V4,Y4,"")))</f>
        <v>1</v>
      </c>
      <c r="AN4" s="37">
        <f aca="true" t="shared" si="8" ref="AN4:AN48">IF(AND(Y4="x",OR($AM$3=T4,$AM$3=V4)),5,IF($AM$3=T4,Y4,IF($AM$3=V4,X4,"")))</f>
        <v>6</v>
      </c>
      <c r="AO4" s="6">
        <f>IF(ISNUMBER(AQ4),1,0)</f>
        <v>0</v>
      </c>
      <c r="AP4" s="38">
        <f aca="true" t="shared" si="9" ref="AP4:AP48">IF(AND(Y4="x",OR($AP$3=T4,$AP$3=V4)),0,IF($AP$3=T4,X4,IF($AP$3=V4,Y4,"")))</f>
      </c>
      <c r="AQ4" s="39">
        <f aca="true" t="shared" si="10" ref="AQ4:AQ48">IF(AND(Y4="x",OR($AP$3=T4,$AP$3=V4)),5,IF($AP$3=T4,Y4,IF($AP$3=V4,X4,"")))</f>
      </c>
      <c r="AR4" s="6">
        <f>IF(ISNUMBER(AT4),1,0)</f>
        <v>0</v>
      </c>
      <c r="AS4" s="40">
        <f aca="true" t="shared" si="11" ref="AS4:AS48">IF(AND(Y4="x",OR($AS$3=T4,$AS$3=V4)),0,IF($AS$3=T4,X4,IF($AS$3=V4,Y4,"")))</f>
      </c>
      <c r="AT4" s="37">
        <f aca="true" t="shared" si="12" ref="AT4:AT48">IF(AND(Y4="x",OR($AS$3=T4,$AS$3=V4)),5,IF($AS$3=T4,Y4,IF($AS$3=V4,X4,"")))</f>
      </c>
      <c r="AU4" s="6">
        <f>IF(ISNUMBER(AW4),1,0)</f>
        <v>0</v>
      </c>
      <c r="AV4" s="38">
        <f aca="true" t="shared" si="13" ref="AV4:AV48">IF(AND(Y4="x",OR($AV$3=T4,$AV$3=V4)),0,IF($AV$3=T4,X4,IF($AV$3=V4,Y4,"")))</f>
      </c>
      <c r="AW4" s="39">
        <f aca="true" t="shared" si="14" ref="AW4:AW48">IF(AND(Y4="x",OR($AV$3=T4,$AV$3=V4)),5,IF($AV$3=T4,Y4,IF($AV$3=V4,X4,"")))</f>
      </c>
      <c r="AX4" s="6">
        <f>IF(ISNUMBER(AZ4),1,0)</f>
        <v>0</v>
      </c>
      <c r="AY4" s="40">
        <f aca="true" t="shared" si="15" ref="AY4:AY48">IF(AND(Y4="x",OR($AY$3=T4,$AY$3=V4)),0,IF($AY$3=T4,X4,IF($AY$3=V4,Y4,"")))</f>
      </c>
      <c r="AZ4" s="37">
        <f aca="true" t="shared" si="16" ref="AZ4:AZ48">IF(AND(Y4="x",OR($AY$3=T4,$AY$3=V4)),5,IF($AY$3=T4,Y4,IF($AY$3=V4,X4,"")))</f>
      </c>
      <c r="BA4" s="6">
        <f>IF(ISNUMBER(BC4),1,0)</f>
        <v>0</v>
      </c>
      <c r="BB4" s="38">
        <f aca="true" t="shared" si="17" ref="BB4:BB48">IF(AND(Y4="x",OR($BB$3=T4,$BB$3=V4)),0,IF($BB$3=T4,X4,IF($BB$3=V4,Y4,"")))</f>
      </c>
      <c r="BC4" s="41">
        <f aca="true" t="shared" si="18" ref="BC4:BC48">IF(AND(Y4="x",OR($BB$3=T4,$BB$3=V4)),5,IF($BB$3=T4,Y4,IF($BB$3=V4,X4,"")))</f>
      </c>
      <c r="BE4" s="42">
        <f>IF(Z48&gt;1,VLOOKUP(2,$Z$4:$AB$48,2,FALSE),"")</f>
        <v>3</v>
      </c>
      <c r="BF4" s="43">
        <f>IF(Z48&gt;1,VLOOKUP(2,$Z$4:$AB$48,3,FALSE),"")</f>
        <v>0</v>
      </c>
      <c r="BG4" s="42">
        <f>IF(ISNUMBER(BF4),IF(BE4=BF4,1,IF(BE4&gt;BF4,$BB$52,0)),"")</f>
        <v>3</v>
      </c>
      <c r="BH4" s="62">
        <f>IF(ISNUMBER(BF4),IF(BE4=BF4,1,IF(BE4&lt;BF4,$BB$52,0)),"")</f>
        <v>0</v>
      </c>
      <c r="BI4" s="17"/>
      <c r="BJ4" s="42">
        <f>IF(AC48&gt;1,VLOOKUP(2,AC4:AE48,2,FALSE),"")</f>
        <v>10</v>
      </c>
      <c r="BK4" s="43">
        <f>IF(AC48&gt;1,VLOOKUP(2,AC4:AE48,3,FALSE),"")</f>
        <v>0</v>
      </c>
      <c r="BL4" s="42">
        <f>IF(ISNUMBER(BK4),IF(BJ4=BK4,1,IF(BJ4&gt;BK4,$BB$52,0)),"")</f>
        <v>3</v>
      </c>
      <c r="BM4" s="62">
        <f>IF(ISNUMBER(BK4),IF(BJ4=BK4,1,IF(BJ4&lt;BK4,$BB$52,0)),"")</f>
        <v>0</v>
      </c>
    </row>
    <row r="5" spans="1:65" ht="9.75" customHeight="1">
      <c r="A5" s="3"/>
      <c r="B5" s="44">
        <v>2</v>
      </c>
      <c r="C5" s="45">
        <v>3</v>
      </c>
      <c r="D5" s="44">
        <v>2</v>
      </c>
      <c r="E5" s="45">
        <v>3</v>
      </c>
      <c r="F5" s="44">
        <v>2</v>
      </c>
      <c r="G5" s="45">
        <v>3</v>
      </c>
      <c r="H5" s="44">
        <v>2</v>
      </c>
      <c r="I5" s="45">
        <v>4</v>
      </c>
      <c r="J5" s="44">
        <v>2</v>
      </c>
      <c r="K5" s="45">
        <v>6</v>
      </c>
      <c r="L5" s="44">
        <v>2</v>
      </c>
      <c r="M5" s="45">
        <v>7</v>
      </c>
      <c r="N5" s="44">
        <v>2</v>
      </c>
      <c r="O5" s="45">
        <v>7</v>
      </c>
      <c r="P5" s="44">
        <v>6</v>
      </c>
      <c r="Q5" s="46">
        <v>10</v>
      </c>
      <c r="R5" s="47">
        <f>IF($AT$52&gt;2,HLOOKUP($AT$52,$B$3:$Q$48,3,FALSE),0)</f>
        <v>2</v>
      </c>
      <c r="S5" s="48">
        <f>IF($AT$52&gt;2,HLOOKUP($AT$57,$B$3:$Q$48,3,FALSE),0)</f>
        <v>3</v>
      </c>
      <c r="T5" s="525" t="str">
        <f aca="true" t="shared" si="19" ref="T5:T48">IF(R5&gt;0,VLOOKUP(R5,$B$52:$E$61,2,FALSE),"")</f>
        <v>RVM Bilshausen II</v>
      </c>
      <c r="U5" s="526"/>
      <c r="V5" s="527" t="str">
        <f aca="true" t="shared" si="20" ref="V5:V48">IF(S5&gt;0,VLOOKUP(S5,$B$52:$E$61,2,FALSE),"")</f>
        <v>RSVL Gifhorn I</v>
      </c>
      <c r="W5" s="527"/>
      <c r="X5" s="34">
        <f>IF(ISNUMBER(Y5),'Lizenz Nr.- Eingabe'!P33,"")</f>
        <v>3</v>
      </c>
      <c r="Y5" s="35">
        <f>IF(OR('Lizenz Nr.- Eingabe'!S33="x",ISNUMBER('Lizenz Nr.- Eingabe'!S33)),'Lizenz Nr.- Eingabe'!S33,"")</f>
        <v>1</v>
      </c>
      <c r="Z5" s="6">
        <f aca="true" t="shared" si="21" ref="Z5:Z48">IF(ISNUMBER(AB5),Z4+1,Z4)</f>
        <v>1</v>
      </c>
      <c r="AA5" s="49">
        <f aca="true" t="shared" si="22" ref="AA5:AA48">IF(AND(Y5="x",OR($AA$3=T5,$AA$3=V5)),0,IF($AA$3=T5,X5,IF($AA$3=V5,Y5,"")))</f>
      </c>
      <c r="AB5" s="50">
        <f t="shared" si="0"/>
      </c>
      <c r="AC5" s="6">
        <f>IF(ISNUMBER(AE5),AC4+1,AC4)</f>
        <v>1</v>
      </c>
      <c r="AD5" s="51">
        <f t="shared" si="1"/>
        <v>3</v>
      </c>
      <c r="AE5" s="52">
        <f t="shared" si="2"/>
        <v>1</v>
      </c>
      <c r="AF5" s="6">
        <f aca="true" t="shared" si="23" ref="AF5:AF48">IF(ISNUMBER(AH5),AF4+1,AF4)</f>
        <v>1</v>
      </c>
      <c r="AG5" s="49">
        <f t="shared" si="3"/>
        <v>1</v>
      </c>
      <c r="AH5" s="50">
        <f t="shared" si="4"/>
        <v>3</v>
      </c>
      <c r="AI5" s="6">
        <f aca="true" t="shared" si="24" ref="AI5:AI48">IF(ISNUMBER(AK5),AI4+1,AI4)</f>
        <v>0</v>
      </c>
      <c r="AJ5" s="51">
        <f t="shared" si="5"/>
      </c>
      <c r="AK5" s="52">
        <f t="shared" si="6"/>
      </c>
      <c r="AL5" s="6">
        <f aca="true" t="shared" si="25" ref="AL5:AL48">IF(ISNUMBER(AN5),AL4+1,AL4)</f>
        <v>1</v>
      </c>
      <c r="AM5" s="49">
        <f t="shared" si="7"/>
      </c>
      <c r="AN5" s="50">
        <f t="shared" si="8"/>
      </c>
      <c r="AO5" s="6">
        <f aca="true" t="shared" si="26" ref="AO5:AO48">IF(ISNUMBER(AQ5),AO4+1,AO4)</f>
        <v>0</v>
      </c>
      <c r="AP5" s="51">
        <f t="shared" si="9"/>
      </c>
      <c r="AQ5" s="52">
        <f t="shared" si="10"/>
      </c>
      <c r="AR5" s="6">
        <f aca="true" t="shared" si="27" ref="AR5:AR48">IF(ISNUMBER(AT5),AR4+1,AR4)</f>
        <v>0</v>
      </c>
      <c r="AS5" s="49">
        <f t="shared" si="11"/>
      </c>
      <c r="AT5" s="50">
        <f t="shared" si="12"/>
      </c>
      <c r="AU5" s="6">
        <f aca="true" t="shared" si="28" ref="AU5:AU48">IF(ISNUMBER(AW5),AU4+1,AU4)</f>
        <v>0</v>
      </c>
      <c r="AV5" s="51">
        <f t="shared" si="13"/>
      </c>
      <c r="AW5" s="52">
        <f t="shared" si="14"/>
      </c>
      <c r="AX5" s="6">
        <f aca="true" t="shared" si="29" ref="AX5:AX48">IF(ISNUMBER(AZ5),AX4+1,AX4)</f>
        <v>0</v>
      </c>
      <c r="AY5" s="49">
        <f t="shared" si="15"/>
      </c>
      <c r="AZ5" s="50">
        <f t="shared" si="16"/>
      </c>
      <c r="BA5" s="6">
        <f aca="true" t="shared" si="30" ref="BA5:BA48">IF(ISNUMBER(BC5),BA4+1,BA4)</f>
        <v>0</v>
      </c>
      <c r="BB5" s="51">
        <f t="shared" si="17"/>
      </c>
      <c r="BC5" s="53">
        <f t="shared" si="18"/>
      </c>
      <c r="BE5" s="42">
        <f>IF(Z48&gt;2,VLOOKUP(3,$Z$4:$AB$48,2,FALSE),"")</f>
        <v>8</v>
      </c>
      <c r="BF5" s="43">
        <f>IF(Z48&gt;2,VLOOKUP(3,$Z$4:$AB$48,3,FALSE),"")</f>
        <v>0</v>
      </c>
      <c r="BG5" s="42">
        <f aca="true" t="shared" si="31" ref="BG5:BG11">IF(ISNUMBER(BF5),IF(BE5=BF5,1,IF(BE5&gt;BF5,$BB$52,0)),"")</f>
        <v>3</v>
      </c>
      <c r="BH5" s="62">
        <f aca="true" t="shared" si="32" ref="BH5:BH10">IF(ISNUMBER(BF5),IF(BE5=BF5,1,IF(BE5&lt;BF5,$BB$52,0)),"")</f>
        <v>0</v>
      </c>
      <c r="BI5" s="17"/>
      <c r="BJ5" s="42">
        <f>IF(AC48&gt;2,VLOOKUP(3,AC4:AE48,2,FALSE),"")</f>
        <v>1</v>
      </c>
      <c r="BK5" s="43">
        <f>IF(AC48&gt;2,VLOOKUP(3,AC4:AE48,3,FALSE),"")</f>
        <v>0</v>
      </c>
      <c r="BL5" s="42">
        <f aca="true" t="shared" si="33" ref="BL5:BL10">IF(ISNUMBER(BK5),IF(BJ5=BK5,1,IF(BJ5&gt;BK5,$BB$52,0)),"")</f>
        <v>3</v>
      </c>
      <c r="BM5" s="62">
        <f aca="true" t="shared" si="34" ref="BM5:BM11">IF(ISNUMBER(BK5),IF(BJ5=BK5,1,IF(BJ5&lt;BK5,$BB$52,0)),"")</f>
        <v>0</v>
      </c>
    </row>
    <row r="6" spans="1:65" ht="9.75" customHeight="1" thickBot="1">
      <c r="A6" s="3"/>
      <c r="B6" s="54">
        <v>1</v>
      </c>
      <c r="C6" s="55">
        <v>2</v>
      </c>
      <c r="D6" s="44">
        <v>1</v>
      </c>
      <c r="E6" s="45">
        <v>3</v>
      </c>
      <c r="F6" s="44">
        <v>4</v>
      </c>
      <c r="G6" s="45">
        <v>5</v>
      </c>
      <c r="H6" s="44">
        <v>3</v>
      </c>
      <c r="I6" s="45">
        <v>5</v>
      </c>
      <c r="J6" s="44">
        <v>3</v>
      </c>
      <c r="K6" s="45">
        <v>5</v>
      </c>
      <c r="L6" s="44">
        <v>3</v>
      </c>
      <c r="M6" s="45">
        <v>6</v>
      </c>
      <c r="N6" s="44">
        <v>3</v>
      </c>
      <c r="O6" s="45">
        <v>9</v>
      </c>
      <c r="P6" s="44">
        <v>1</v>
      </c>
      <c r="Q6" s="45">
        <v>8</v>
      </c>
      <c r="R6" s="47">
        <f>IF($AT$52&gt;2,HLOOKUP($AT$52,$B$3:$Q$48,4,FALSE),0)</f>
        <v>4</v>
      </c>
      <c r="S6" s="48">
        <f>IF($AT$52&gt;2,HLOOKUP($AT$57,$B$3:$Q$48,4,FALSE),0)</f>
        <v>5</v>
      </c>
      <c r="T6" s="525" t="str">
        <f t="shared" si="19"/>
        <v>RCG Hahndorf I</v>
      </c>
      <c r="U6" s="526"/>
      <c r="V6" s="527" t="str">
        <f t="shared" si="20"/>
        <v>RVS Obernfeld II</v>
      </c>
      <c r="W6" s="527"/>
      <c r="X6" s="34">
        <f>IF(ISNUMBER(Y6),'Lizenz Nr.- Eingabe'!P34,"")</f>
        <v>0</v>
      </c>
      <c r="Y6" s="35">
        <f>IF(OR('Lizenz Nr.- Eingabe'!S34="x",ISNUMBER('Lizenz Nr.- Eingabe'!S34)),'Lizenz Nr.- Eingabe'!S34,"")</f>
        <v>6</v>
      </c>
      <c r="Z6" s="6">
        <f t="shared" si="21"/>
        <v>1</v>
      </c>
      <c r="AA6" s="49">
        <f t="shared" si="22"/>
      </c>
      <c r="AB6" s="50">
        <f t="shared" si="0"/>
      </c>
      <c r="AC6" s="6">
        <f aca="true" t="shared" si="35" ref="AC6:AC48">IF(ISNUMBER(AE6),AC5+1,AC5)</f>
        <v>1</v>
      </c>
      <c r="AD6" s="51">
        <f t="shared" si="1"/>
      </c>
      <c r="AE6" s="52">
        <f t="shared" si="2"/>
      </c>
      <c r="AF6" s="6">
        <f t="shared" si="23"/>
        <v>1</v>
      </c>
      <c r="AG6" s="49">
        <f t="shared" si="3"/>
      </c>
      <c r="AH6" s="50">
        <f t="shared" si="4"/>
      </c>
      <c r="AI6" s="6">
        <f t="shared" si="24"/>
        <v>1</v>
      </c>
      <c r="AJ6" s="51">
        <f t="shared" si="5"/>
        <v>0</v>
      </c>
      <c r="AK6" s="52">
        <f t="shared" si="6"/>
        <v>6</v>
      </c>
      <c r="AL6" s="6">
        <f t="shared" si="25"/>
        <v>2</v>
      </c>
      <c r="AM6" s="49">
        <f t="shared" si="7"/>
        <v>6</v>
      </c>
      <c r="AN6" s="50">
        <f t="shared" si="8"/>
        <v>0</v>
      </c>
      <c r="AO6" s="6">
        <f t="shared" si="26"/>
        <v>0</v>
      </c>
      <c r="AP6" s="51">
        <f t="shared" si="9"/>
      </c>
      <c r="AQ6" s="52">
        <f t="shared" si="10"/>
      </c>
      <c r="AR6" s="6">
        <f t="shared" si="27"/>
        <v>0</v>
      </c>
      <c r="AS6" s="49">
        <f t="shared" si="11"/>
      </c>
      <c r="AT6" s="50">
        <f t="shared" si="12"/>
      </c>
      <c r="AU6" s="6">
        <f t="shared" si="28"/>
        <v>0</v>
      </c>
      <c r="AV6" s="51">
        <f t="shared" si="13"/>
      </c>
      <c r="AW6" s="52">
        <f t="shared" si="14"/>
      </c>
      <c r="AX6" s="6">
        <f t="shared" si="29"/>
        <v>0</v>
      </c>
      <c r="AY6" s="49">
        <f t="shared" si="15"/>
      </c>
      <c r="AZ6" s="50">
        <f t="shared" si="16"/>
      </c>
      <c r="BA6" s="6">
        <f t="shared" si="30"/>
        <v>0</v>
      </c>
      <c r="BB6" s="51">
        <f t="shared" si="17"/>
      </c>
      <c r="BC6" s="53">
        <f t="shared" si="18"/>
      </c>
      <c r="BE6" s="42">
        <f>IF(Z48&gt;3,VLOOKUP(4,$Z$4:$AB$48,2,FALSE),"")</f>
        <v>3</v>
      </c>
      <c r="BF6" s="43">
        <f>IF(Z48&gt;3,VLOOKUP(4,$Z$4:$AB$48,3,FALSE),"")</f>
        <v>2</v>
      </c>
      <c r="BG6" s="42">
        <f t="shared" si="31"/>
        <v>3</v>
      </c>
      <c r="BH6" s="62">
        <f t="shared" si="32"/>
        <v>0</v>
      </c>
      <c r="BI6" s="17"/>
      <c r="BJ6" s="42">
        <f>IF(AC48&gt;3,VLOOKUP(4,AC4:AE48,2,FALSE),"")</f>
        <v>2</v>
      </c>
      <c r="BK6" s="43">
        <f>IF(AC48&gt;3,VLOOKUP(4,AC4:AE48,3,FALSE),"")</f>
        <v>3</v>
      </c>
      <c r="BL6" s="42">
        <f t="shared" si="33"/>
        <v>0</v>
      </c>
      <c r="BM6" s="62">
        <f t="shared" si="34"/>
        <v>3</v>
      </c>
    </row>
    <row r="7" spans="1:65" ht="9.75" customHeight="1">
      <c r="A7" s="3"/>
      <c r="B7" s="56"/>
      <c r="C7" s="56"/>
      <c r="D7" s="44">
        <v>2</v>
      </c>
      <c r="E7" s="45">
        <v>4</v>
      </c>
      <c r="F7" s="44">
        <v>1</v>
      </c>
      <c r="G7" s="45">
        <v>3</v>
      </c>
      <c r="H7" s="44">
        <v>1</v>
      </c>
      <c r="I7" s="45">
        <v>4</v>
      </c>
      <c r="J7" s="44">
        <v>4</v>
      </c>
      <c r="K7" s="45">
        <v>7</v>
      </c>
      <c r="L7" s="44">
        <v>4</v>
      </c>
      <c r="M7" s="45">
        <v>5</v>
      </c>
      <c r="N7" s="44">
        <v>1</v>
      </c>
      <c r="O7" s="45">
        <v>6</v>
      </c>
      <c r="P7" s="44">
        <v>2</v>
      </c>
      <c r="Q7" s="45">
        <v>7</v>
      </c>
      <c r="R7" s="47">
        <f>IF($AT$52&gt;2,HLOOKUP($AT$52,$B$3:$Q$48,5,FALSE),0)</f>
        <v>1</v>
      </c>
      <c r="S7" s="48">
        <f>IF($AT$52&gt;2,HLOOKUP($AT$57,$B$3:$Q$48,5,FALSE),0)</f>
        <v>3</v>
      </c>
      <c r="T7" s="525" t="str">
        <f t="shared" si="19"/>
        <v>RVS Obernfeld I</v>
      </c>
      <c r="U7" s="526"/>
      <c r="V7" s="527" t="str">
        <f t="shared" si="20"/>
        <v>RSVL Gifhorn I</v>
      </c>
      <c r="W7" s="527"/>
      <c r="X7" s="34">
        <f>IF(ISNUMBER(Y7),'Lizenz Nr.- Eingabe'!P35,"")</f>
        <v>3</v>
      </c>
      <c r="Y7" s="35">
        <f>IF(OR('Lizenz Nr.- Eingabe'!S35="x",ISNUMBER('Lizenz Nr.- Eingabe'!S35)),'Lizenz Nr.- Eingabe'!S35,"")</f>
        <v>0</v>
      </c>
      <c r="Z7" s="6">
        <f t="shared" si="21"/>
        <v>2</v>
      </c>
      <c r="AA7" s="49">
        <f t="shared" si="22"/>
        <v>3</v>
      </c>
      <c r="AB7" s="50">
        <f t="shared" si="0"/>
        <v>0</v>
      </c>
      <c r="AC7" s="6">
        <f t="shared" si="35"/>
        <v>1</v>
      </c>
      <c r="AD7" s="51">
        <f t="shared" si="1"/>
      </c>
      <c r="AE7" s="52">
        <f t="shared" si="2"/>
      </c>
      <c r="AF7" s="6">
        <f t="shared" si="23"/>
        <v>2</v>
      </c>
      <c r="AG7" s="49">
        <f t="shared" si="3"/>
        <v>0</v>
      </c>
      <c r="AH7" s="50">
        <f t="shared" si="4"/>
        <v>3</v>
      </c>
      <c r="AI7" s="6">
        <f t="shared" si="24"/>
        <v>1</v>
      </c>
      <c r="AJ7" s="51">
        <f t="shared" si="5"/>
      </c>
      <c r="AK7" s="52">
        <f t="shared" si="6"/>
      </c>
      <c r="AL7" s="6">
        <f t="shared" si="25"/>
        <v>2</v>
      </c>
      <c r="AM7" s="49">
        <f t="shared" si="7"/>
      </c>
      <c r="AN7" s="50">
        <f t="shared" si="8"/>
      </c>
      <c r="AO7" s="6">
        <f t="shared" si="26"/>
        <v>0</v>
      </c>
      <c r="AP7" s="51">
        <f t="shared" si="9"/>
      </c>
      <c r="AQ7" s="52">
        <f t="shared" si="10"/>
      </c>
      <c r="AR7" s="6">
        <f t="shared" si="27"/>
        <v>0</v>
      </c>
      <c r="AS7" s="49">
        <f t="shared" si="11"/>
      </c>
      <c r="AT7" s="50">
        <f t="shared" si="12"/>
      </c>
      <c r="AU7" s="6">
        <f t="shared" si="28"/>
        <v>0</v>
      </c>
      <c r="AV7" s="51">
        <f t="shared" si="13"/>
      </c>
      <c r="AW7" s="52">
        <f t="shared" si="14"/>
      </c>
      <c r="AX7" s="6">
        <f t="shared" si="29"/>
        <v>0</v>
      </c>
      <c r="AY7" s="49">
        <f t="shared" si="15"/>
      </c>
      <c r="AZ7" s="50">
        <f t="shared" si="16"/>
      </c>
      <c r="BA7" s="6">
        <f t="shared" si="30"/>
        <v>0</v>
      </c>
      <c r="BB7" s="51">
        <f t="shared" si="17"/>
      </c>
      <c r="BC7" s="53">
        <f t="shared" si="18"/>
      </c>
      <c r="BE7" s="42">
        <f>IF(Z48&gt;4,VLOOKUP(5,$Z$4:$AB$48,2,FALSE),"")</f>
      </c>
      <c r="BF7" s="43">
        <f>IF(Z48&gt;4,VLOOKUP(5,$Z$4:$AB$48,3,FALSE),"")</f>
      </c>
      <c r="BG7" s="42">
        <f t="shared" si="31"/>
      </c>
      <c r="BH7" s="62">
        <f t="shared" si="32"/>
      </c>
      <c r="BI7" s="17"/>
      <c r="BJ7" s="42">
        <f>IF(AC48&gt;4,VLOOKUP(5,AC4:AE48,2,FALSE),"")</f>
      </c>
      <c r="BK7" s="43">
        <f>IF(AC48&gt;4,VLOOKUP(5,AC4:AE48,3,FALSE),"")</f>
      </c>
      <c r="BL7" s="42">
        <f t="shared" si="33"/>
      </c>
      <c r="BM7" s="62">
        <f t="shared" si="34"/>
      </c>
    </row>
    <row r="8" spans="1:65" ht="9.75" customHeight="1">
      <c r="A8" s="3"/>
      <c r="B8" s="56"/>
      <c r="C8" s="56"/>
      <c r="D8" s="44">
        <v>3</v>
      </c>
      <c r="E8" s="45">
        <v>4</v>
      </c>
      <c r="F8" s="44">
        <v>2</v>
      </c>
      <c r="G8" s="45">
        <v>4</v>
      </c>
      <c r="H8" s="44">
        <v>3</v>
      </c>
      <c r="I8" s="45">
        <v>6</v>
      </c>
      <c r="J8" s="44">
        <v>1</v>
      </c>
      <c r="K8" s="45">
        <v>6</v>
      </c>
      <c r="L8" s="44">
        <v>1</v>
      </c>
      <c r="M8" s="45">
        <v>7</v>
      </c>
      <c r="N8" s="44">
        <v>4</v>
      </c>
      <c r="O8" s="45">
        <v>8</v>
      </c>
      <c r="P8" s="44">
        <v>4</v>
      </c>
      <c r="Q8" s="45">
        <v>9</v>
      </c>
      <c r="R8" s="47">
        <f>IF($AT$52&gt;2,HLOOKUP($AT$52,$B$3:$Q$48,6,FALSE),0)</f>
        <v>2</v>
      </c>
      <c r="S8" s="48">
        <f>IF($AT$52&gt;2,HLOOKUP($AT$57,$B$3:$Q$48,6,FALSE),0)</f>
        <v>4</v>
      </c>
      <c r="T8" s="525" t="str">
        <f t="shared" si="19"/>
        <v>RVM Bilshausen II</v>
      </c>
      <c r="U8" s="526"/>
      <c r="V8" s="527" t="str">
        <f t="shared" si="20"/>
        <v>RCG Hahndorf I</v>
      </c>
      <c r="W8" s="527"/>
      <c r="X8" s="34">
        <f>IF(ISNUMBER(Y8),'Lizenz Nr.- Eingabe'!P36,"")</f>
        <v>10</v>
      </c>
      <c r="Y8" s="35">
        <f>IF(OR('Lizenz Nr.- Eingabe'!S36="x",ISNUMBER('Lizenz Nr.- Eingabe'!S36)),'Lizenz Nr.- Eingabe'!S36,"")</f>
        <v>0</v>
      </c>
      <c r="Z8" s="6">
        <f t="shared" si="21"/>
        <v>2</v>
      </c>
      <c r="AA8" s="49">
        <f t="shared" si="22"/>
      </c>
      <c r="AB8" s="50">
        <f t="shared" si="0"/>
      </c>
      <c r="AC8" s="6">
        <f t="shared" si="35"/>
        <v>2</v>
      </c>
      <c r="AD8" s="51">
        <f t="shared" si="1"/>
        <v>10</v>
      </c>
      <c r="AE8" s="52">
        <f t="shared" si="2"/>
        <v>0</v>
      </c>
      <c r="AF8" s="6">
        <f t="shared" si="23"/>
        <v>2</v>
      </c>
      <c r="AG8" s="49">
        <f t="shared" si="3"/>
      </c>
      <c r="AH8" s="50">
        <f t="shared" si="4"/>
      </c>
      <c r="AI8" s="6">
        <f t="shared" si="24"/>
        <v>2</v>
      </c>
      <c r="AJ8" s="51">
        <f t="shared" si="5"/>
        <v>0</v>
      </c>
      <c r="AK8" s="52">
        <f t="shared" si="6"/>
        <v>10</v>
      </c>
      <c r="AL8" s="6">
        <f t="shared" si="25"/>
        <v>2</v>
      </c>
      <c r="AM8" s="49">
        <f t="shared" si="7"/>
      </c>
      <c r="AN8" s="50">
        <f t="shared" si="8"/>
      </c>
      <c r="AO8" s="6">
        <f t="shared" si="26"/>
        <v>0</v>
      </c>
      <c r="AP8" s="51">
        <f t="shared" si="9"/>
      </c>
      <c r="AQ8" s="52">
        <f t="shared" si="10"/>
      </c>
      <c r="AR8" s="6">
        <f t="shared" si="27"/>
        <v>0</v>
      </c>
      <c r="AS8" s="49">
        <f t="shared" si="11"/>
      </c>
      <c r="AT8" s="50">
        <f t="shared" si="12"/>
      </c>
      <c r="AU8" s="6">
        <f t="shared" si="28"/>
        <v>0</v>
      </c>
      <c r="AV8" s="51">
        <f t="shared" si="13"/>
      </c>
      <c r="AW8" s="52">
        <f t="shared" si="14"/>
      </c>
      <c r="AX8" s="6">
        <f t="shared" si="29"/>
        <v>0</v>
      </c>
      <c r="AY8" s="49">
        <f t="shared" si="15"/>
      </c>
      <c r="AZ8" s="50">
        <f t="shared" si="16"/>
      </c>
      <c r="BA8" s="6">
        <f t="shared" si="30"/>
        <v>0</v>
      </c>
      <c r="BB8" s="51">
        <f t="shared" si="17"/>
      </c>
      <c r="BC8" s="53">
        <f t="shared" si="18"/>
      </c>
      <c r="BE8" s="42">
        <f>IF(Z48&gt;5,VLOOKUP(6,$Z$4:$AB$48,2,FALSE),"")</f>
      </c>
      <c r="BF8" s="43">
        <f>IF(Z48&gt;5,VLOOKUP(6,$Z$4:$AB$48,3,FALSE),"")</f>
      </c>
      <c r="BG8" s="42">
        <f t="shared" si="31"/>
      </c>
      <c r="BH8" s="62">
        <f t="shared" si="32"/>
      </c>
      <c r="BI8" s="17"/>
      <c r="BJ8" s="42">
        <f>IF(AC48&gt;5,VLOOKUP(6,AC4:AE48,2,FALSE),"")</f>
      </c>
      <c r="BK8" s="43">
        <f>IF(AC48&gt;5,VLOOKUP(6,AC4:AE48,3,FALSE),"")</f>
      </c>
      <c r="BL8" s="42">
        <f t="shared" si="33"/>
      </c>
      <c r="BM8" s="62">
        <f t="shared" si="34"/>
      </c>
    </row>
    <row r="9" spans="1:65" ht="9.75" customHeight="1" thickBot="1">
      <c r="A9" s="3"/>
      <c r="B9" s="56"/>
      <c r="C9" s="56"/>
      <c r="D9" s="54">
        <v>1</v>
      </c>
      <c r="E9" s="55">
        <v>2</v>
      </c>
      <c r="F9" s="44">
        <v>3</v>
      </c>
      <c r="G9" s="45">
        <v>5</v>
      </c>
      <c r="H9" s="44">
        <v>2</v>
      </c>
      <c r="I9" s="45">
        <v>5</v>
      </c>
      <c r="J9" s="44">
        <v>2</v>
      </c>
      <c r="K9" s="45">
        <v>5</v>
      </c>
      <c r="L9" s="44">
        <v>2</v>
      </c>
      <c r="M9" s="45">
        <v>6</v>
      </c>
      <c r="N9" s="44">
        <v>3</v>
      </c>
      <c r="O9" s="45">
        <v>7</v>
      </c>
      <c r="P9" s="44">
        <v>3</v>
      </c>
      <c r="Q9" s="45">
        <v>8</v>
      </c>
      <c r="R9" s="47">
        <f>IF($AT$52&gt;2,HLOOKUP($AT$52,$B$3:$Q$48,7,FALSE),0)</f>
        <v>3</v>
      </c>
      <c r="S9" s="48">
        <f>IF($AT$52&gt;2,HLOOKUP($AT$57,$B$3:$Q$48,7,FALSE),0)</f>
        <v>5</v>
      </c>
      <c r="T9" s="525" t="str">
        <f t="shared" si="19"/>
        <v>RSVL Gifhorn I</v>
      </c>
      <c r="U9" s="526"/>
      <c r="V9" s="527" t="str">
        <f t="shared" si="20"/>
        <v>RVS Obernfeld II</v>
      </c>
      <c r="W9" s="527"/>
      <c r="X9" s="34">
        <f>IF(ISNUMBER(Y9),'Lizenz Nr.- Eingabe'!P37,"")</f>
        <v>0</v>
      </c>
      <c r="Y9" s="35">
        <f>IF(OR('Lizenz Nr.- Eingabe'!S37="x",ISNUMBER('Lizenz Nr.- Eingabe'!S37)),'Lizenz Nr.- Eingabe'!S37,"")</f>
        <v>3</v>
      </c>
      <c r="Z9" s="6">
        <f t="shared" si="21"/>
        <v>2</v>
      </c>
      <c r="AA9" s="49">
        <f t="shared" si="22"/>
      </c>
      <c r="AB9" s="50">
        <f t="shared" si="0"/>
      </c>
      <c r="AC9" s="6">
        <f t="shared" si="35"/>
        <v>2</v>
      </c>
      <c r="AD9" s="51">
        <f t="shared" si="1"/>
      </c>
      <c r="AE9" s="52">
        <f t="shared" si="2"/>
      </c>
      <c r="AF9" s="6">
        <f t="shared" si="23"/>
        <v>3</v>
      </c>
      <c r="AG9" s="49">
        <f t="shared" si="3"/>
        <v>0</v>
      </c>
      <c r="AH9" s="50">
        <f t="shared" si="4"/>
        <v>3</v>
      </c>
      <c r="AI9" s="6">
        <f t="shared" si="24"/>
        <v>2</v>
      </c>
      <c r="AJ9" s="51">
        <f t="shared" si="5"/>
      </c>
      <c r="AK9" s="52">
        <f t="shared" si="6"/>
      </c>
      <c r="AL9" s="6">
        <f t="shared" si="25"/>
        <v>3</v>
      </c>
      <c r="AM9" s="49">
        <f t="shared" si="7"/>
        <v>3</v>
      </c>
      <c r="AN9" s="50">
        <f t="shared" si="8"/>
        <v>0</v>
      </c>
      <c r="AO9" s="6">
        <f t="shared" si="26"/>
        <v>0</v>
      </c>
      <c r="AP9" s="51">
        <f t="shared" si="9"/>
      </c>
      <c r="AQ9" s="52">
        <f t="shared" si="10"/>
      </c>
      <c r="AR9" s="6">
        <f t="shared" si="27"/>
        <v>0</v>
      </c>
      <c r="AS9" s="49">
        <f t="shared" si="11"/>
      </c>
      <c r="AT9" s="50">
        <f t="shared" si="12"/>
      </c>
      <c r="AU9" s="6">
        <f t="shared" si="28"/>
        <v>0</v>
      </c>
      <c r="AV9" s="51">
        <f t="shared" si="13"/>
      </c>
      <c r="AW9" s="52">
        <f t="shared" si="14"/>
      </c>
      <c r="AX9" s="6">
        <f t="shared" si="29"/>
        <v>0</v>
      </c>
      <c r="AY9" s="49">
        <f t="shared" si="15"/>
      </c>
      <c r="AZ9" s="50">
        <f t="shared" si="16"/>
      </c>
      <c r="BA9" s="6">
        <f t="shared" si="30"/>
        <v>0</v>
      </c>
      <c r="BB9" s="51">
        <f t="shared" si="17"/>
      </c>
      <c r="BC9" s="53">
        <f t="shared" si="18"/>
      </c>
      <c r="BE9" s="42">
        <f>IF(Z48&gt;6,VLOOKUP(7,$Z$4:$AB$48,2,FALSE),"")</f>
      </c>
      <c r="BF9" s="43">
        <f>IF(AND($AT$52&gt;7,Z48&gt;6),VLOOKUP(7,$Z$4:$AB$48,3,FALSE),"")</f>
      </c>
      <c r="BG9" s="42">
        <f t="shared" si="31"/>
      </c>
      <c r="BH9" s="62">
        <f t="shared" si="32"/>
      </c>
      <c r="BI9" s="17"/>
      <c r="BJ9" s="42">
        <f>IF(AC48&gt;6,VLOOKUP(7,AC4:AE48,2,FALSE),"")</f>
      </c>
      <c r="BK9" s="43">
        <f>IF(AC48&gt;6,VLOOKUP(7,AC4:AE48,3,FALSE),"")</f>
      </c>
      <c r="BL9" s="42">
        <f t="shared" si="33"/>
      </c>
      <c r="BM9" s="62">
        <f t="shared" si="34"/>
      </c>
    </row>
    <row r="10" spans="1:65" ht="9.75" customHeight="1">
      <c r="A10" s="3"/>
      <c r="B10" s="56"/>
      <c r="C10" s="56"/>
      <c r="D10" s="30">
        <v>1</v>
      </c>
      <c r="E10" s="31">
        <v>4</v>
      </c>
      <c r="F10" s="44">
        <v>1</v>
      </c>
      <c r="G10" s="45">
        <v>4</v>
      </c>
      <c r="H10" s="44">
        <v>4</v>
      </c>
      <c r="I10" s="45">
        <v>6</v>
      </c>
      <c r="J10" s="44">
        <v>3</v>
      </c>
      <c r="K10" s="45">
        <v>4</v>
      </c>
      <c r="L10" s="44">
        <v>4</v>
      </c>
      <c r="M10" s="45">
        <v>8</v>
      </c>
      <c r="N10" s="44">
        <v>6</v>
      </c>
      <c r="O10" s="45">
        <v>9</v>
      </c>
      <c r="P10" s="44">
        <v>2</v>
      </c>
      <c r="Q10" s="46">
        <v>10</v>
      </c>
      <c r="R10" s="47">
        <f>IF($AT$52&gt;2,HLOOKUP($AT$52,$B$3:$Q$48,8,FALSE),0)</f>
        <v>1</v>
      </c>
      <c r="S10" s="48">
        <f>IF($AT$52&gt;2,HLOOKUP($AT$57,$B$3:$Q$48,8,FALSE),0)</f>
        <v>4</v>
      </c>
      <c r="T10" s="525" t="str">
        <f t="shared" si="19"/>
        <v>RVS Obernfeld I</v>
      </c>
      <c r="U10" s="526"/>
      <c r="V10" s="527" t="str">
        <f t="shared" si="20"/>
        <v>RCG Hahndorf I</v>
      </c>
      <c r="W10" s="527"/>
      <c r="X10" s="34">
        <f>IF(ISNUMBER(Y10),'Lizenz Nr.- Eingabe'!P38,"")</f>
        <v>8</v>
      </c>
      <c r="Y10" s="35">
        <f>IF(OR('Lizenz Nr.- Eingabe'!S38="x",ISNUMBER('Lizenz Nr.- Eingabe'!S38)),'Lizenz Nr.- Eingabe'!S38,"")</f>
        <v>0</v>
      </c>
      <c r="Z10" s="6">
        <f t="shared" si="21"/>
        <v>3</v>
      </c>
      <c r="AA10" s="49">
        <f t="shared" si="22"/>
        <v>8</v>
      </c>
      <c r="AB10" s="50">
        <f t="shared" si="0"/>
        <v>0</v>
      </c>
      <c r="AC10" s="6">
        <f t="shared" si="35"/>
        <v>2</v>
      </c>
      <c r="AD10" s="51">
        <f t="shared" si="1"/>
      </c>
      <c r="AE10" s="52">
        <f t="shared" si="2"/>
      </c>
      <c r="AF10" s="6">
        <f t="shared" si="23"/>
        <v>3</v>
      </c>
      <c r="AG10" s="49">
        <f t="shared" si="3"/>
      </c>
      <c r="AH10" s="50">
        <f t="shared" si="4"/>
      </c>
      <c r="AI10" s="6">
        <f t="shared" si="24"/>
        <v>3</v>
      </c>
      <c r="AJ10" s="51">
        <f t="shared" si="5"/>
        <v>0</v>
      </c>
      <c r="AK10" s="52">
        <f t="shared" si="6"/>
        <v>8</v>
      </c>
      <c r="AL10" s="6">
        <f t="shared" si="25"/>
        <v>3</v>
      </c>
      <c r="AM10" s="49">
        <f t="shared" si="7"/>
      </c>
      <c r="AN10" s="50">
        <f t="shared" si="8"/>
      </c>
      <c r="AO10" s="6">
        <f t="shared" si="26"/>
        <v>0</v>
      </c>
      <c r="AP10" s="51">
        <f t="shared" si="9"/>
      </c>
      <c r="AQ10" s="52">
        <f t="shared" si="10"/>
      </c>
      <c r="AR10" s="6">
        <f t="shared" si="27"/>
        <v>0</v>
      </c>
      <c r="AS10" s="49">
        <f t="shared" si="11"/>
      </c>
      <c r="AT10" s="50">
        <f t="shared" si="12"/>
      </c>
      <c r="AU10" s="6">
        <f t="shared" si="28"/>
        <v>0</v>
      </c>
      <c r="AV10" s="51">
        <f t="shared" si="13"/>
      </c>
      <c r="AW10" s="52">
        <f t="shared" si="14"/>
      </c>
      <c r="AX10" s="6">
        <f t="shared" si="29"/>
        <v>0</v>
      </c>
      <c r="AY10" s="49">
        <f t="shared" si="15"/>
      </c>
      <c r="AZ10" s="50">
        <f t="shared" si="16"/>
      </c>
      <c r="BA10" s="6">
        <f t="shared" si="30"/>
        <v>0</v>
      </c>
      <c r="BB10" s="51">
        <f t="shared" si="17"/>
      </c>
      <c r="BC10" s="53">
        <f t="shared" si="18"/>
      </c>
      <c r="BE10" s="42">
        <f>IF(Z48&gt;7,VLOOKUP(8,$Z$4:$AB$48,2,FALSE),"")</f>
      </c>
      <c r="BF10" s="43">
        <f>IF(AND($AT$52&gt;8,Z48&gt;7),VLOOKUP(8,$Z$4:$AB$48,3,FALSE),"")</f>
      </c>
      <c r="BG10" s="42">
        <f t="shared" si="31"/>
      </c>
      <c r="BH10" s="62">
        <f t="shared" si="32"/>
      </c>
      <c r="BI10" s="17"/>
      <c r="BJ10" s="42">
        <f>IF(AC48&gt;7,VLOOKUP(8,AC4:AE48,2,FALSE),"")</f>
      </c>
      <c r="BK10" s="43">
        <f>IF(AC48&gt;7,VLOOKUP(8,AC4:AE48,3,FALSE),"")</f>
      </c>
      <c r="BL10" s="42">
        <f t="shared" si="33"/>
      </c>
      <c r="BM10" s="62">
        <f t="shared" si="34"/>
      </c>
    </row>
    <row r="11" spans="1:65" ht="9.75" customHeight="1" thickBot="1">
      <c r="A11" s="3"/>
      <c r="B11" s="56"/>
      <c r="C11" s="56"/>
      <c r="D11" s="44">
        <v>2</v>
      </c>
      <c r="E11" s="45">
        <v>3</v>
      </c>
      <c r="F11" s="44">
        <v>2</v>
      </c>
      <c r="G11" s="45">
        <v>5</v>
      </c>
      <c r="H11" s="44">
        <v>1</v>
      </c>
      <c r="I11" s="45">
        <v>5</v>
      </c>
      <c r="J11" s="44">
        <v>6</v>
      </c>
      <c r="K11" s="45">
        <v>7</v>
      </c>
      <c r="L11" s="44">
        <v>3</v>
      </c>
      <c r="M11" s="45">
        <v>5</v>
      </c>
      <c r="N11" s="44">
        <v>1</v>
      </c>
      <c r="O11" s="45">
        <v>5</v>
      </c>
      <c r="P11" s="44">
        <v>4</v>
      </c>
      <c r="Q11" s="45">
        <v>5</v>
      </c>
      <c r="R11" s="47">
        <f>IF($AT$52&gt;2,HLOOKUP($AT$52,$B$3:$Q$48,9,FALSE),0)</f>
        <v>2</v>
      </c>
      <c r="S11" s="48">
        <f>IF($AT$52&gt;2,HLOOKUP($AT$57,$B$3:$Q$48,9,FALSE),0)</f>
        <v>5</v>
      </c>
      <c r="T11" s="525" t="str">
        <f t="shared" si="19"/>
        <v>RVM Bilshausen II</v>
      </c>
      <c r="U11" s="526"/>
      <c r="V11" s="527" t="str">
        <f t="shared" si="20"/>
        <v>RVS Obernfeld II</v>
      </c>
      <c r="W11" s="527"/>
      <c r="X11" s="34">
        <f>IF(ISNUMBER(Y11),'Lizenz Nr.- Eingabe'!P39,"")</f>
        <v>1</v>
      </c>
      <c r="Y11" s="35">
        <f>IF(OR('Lizenz Nr.- Eingabe'!S39="x",ISNUMBER('Lizenz Nr.- Eingabe'!S39)),'Lizenz Nr.- Eingabe'!S39,"")</f>
        <v>0</v>
      </c>
      <c r="Z11" s="6">
        <f t="shared" si="21"/>
        <v>3</v>
      </c>
      <c r="AA11" s="49">
        <f t="shared" si="22"/>
      </c>
      <c r="AB11" s="50">
        <f t="shared" si="0"/>
      </c>
      <c r="AC11" s="6">
        <f t="shared" si="35"/>
        <v>3</v>
      </c>
      <c r="AD11" s="51">
        <f t="shared" si="1"/>
        <v>1</v>
      </c>
      <c r="AE11" s="52">
        <f t="shared" si="2"/>
        <v>0</v>
      </c>
      <c r="AF11" s="6">
        <f t="shared" si="23"/>
        <v>3</v>
      </c>
      <c r="AG11" s="49">
        <f t="shared" si="3"/>
      </c>
      <c r="AH11" s="50">
        <f t="shared" si="4"/>
      </c>
      <c r="AI11" s="6">
        <f t="shared" si="24"/>
        <v>3</v>
      </c>
      <c r="AJ11" s="51">
        <f t="shared" si="5"/>
      </c>
      <c r="AK11" s="52">
        <f t="shared" si="6"/>
      </c>
      <c r="AL11" s="6">
        <f t="shared" si="25"/>
        <v>4</v>
      </c>
      <c r="AM11" s="49">
        <f t="shared" si="7"/>
        <v>0</v>
      </c>
      <c r="AN11" s="50">
        <f t="shared" si="8"/>
        <v>1</v>
      </c>
      <c r="AO11" s="6">
        <f t="shared" si="26"/>
        <v>0</v>
      </c>
      <c r="AP11" s="51">
        <f t="shared" si="9"/>
      </c>
      <c r="AQ11" s="52">
        <f t="shared" si="10"/>
      </c>
      <c r="AR11" s="6">
        <f t="shared" si="27"/>
        <v>0</v>
      </c>
      <c r="AS11" s="49">
        <f t="shared" si="11"/>
      </c>
      <c r="AT11" s="50">
        <f t="shared" si="12"/>
      </c>
      <c r="AU11" s="6">
        <f t="shared" si="28"/>
        <v>0</v>
      </c>
      <c r="AV11" s="51">
        <f t="shared" si="13"/>
      </c>
      <c r="AW11" s="52">
        <f t="shared" si="14"/>
      </c>
      <c r="AX11" s="6">
        <f t="shared" si="29"/>
        <v>0</v>
      </c>
      <c r="AY11" s="49">
        <f t="shared" si="15"/>
      </c>
      <c r="AZ11" s="50">
        <f t="shared" si="16"/>
      </c>
      <c r="BA11" s="6">
        <f t="shared" si="30"/>
        <v>0</v>
      </c>
      <c r="BB11" s="51">
        <f t="shared" si="17"/>
      </c>
      <c r="BC11" s="53">
        <f t="shared" si="18"/>
      </c>
      <c r="BE11" s="57">
        <f>IF(Z48&gt;8,VLOOKUP(9,$Z$4:$AB$48,2,FALSE),"")</f>
      </c>
      <c r="BF11" s="58">
        <f>IF(Z48&gt;8,VLOOKUP(9,$Z$4:$AB$48,3,FALSE),"")</f>
      </c>
      <c r="BG11" s="42">
        <f t="shared" si="31"/>
      </c>
      <c r="BH11" s="62">
        <f>IF(ISNUMBER(BF11),IF(BE11=BF11,1,IF(BE11&lt;BF11,$BB$52,0)),"")</f>
      </c>
      <c r="BI11" s="17"/>
      <c r="BJ11" s="57">
        <f>IF(AC48&gt;8,VLOOKUP(9,AC4:AE48,2,FALSE),"")</f>
      </c>
      <c r="BK11" s="58">
        <f>IF(AC48&gt;8,VLOOKUP(9,AC4:AE48,3,FALSE),"")</f>
      </c>
      <c r="BL11" s="42">
        <f>IF(ISNUMBER(BK11),IF(BJ11=BK11,1,IF(BJ11&gt;BK11,$BB$52,0)),"")</f>
      </c>
      <c r="BM11" s="62">
        <f t="shared" si="34"/>
      </c>
    </row>
    <row r="12" spans="1:65" ht="9.75" customHeight="1" thickBot="1">
      <c r="A12" s="3"/>
      <c r="B12" s="56"/>
      <c r="C12" s="56"/>
      <c r="D12" s="44">
        <v>1</v>
      </c>
      <c r="E12" s="45">
        <v>3</v>
      </c>
      <c r="F12" s="44">
        <v>3</v>
      </c>
      <c r="G12" s="45">
        <v>4</v>
      </c>
      <c r="H12" s="44">
        <v>2</v>
      </c>
      <c r="I12" s="45">
        <v>3</v>
      </c>
      <c r="J12" s="44">
        <v>1</v>
      </c>
      <c r="K12" s="45">
        <v>5</v>
      </c>
      <c r="L12" s="44">
        <v>1</v>
      </c>
      <c r="M12" s="45">
        <v>6</v>
      </c>
      <c r="N12" s="44">
        <v>2</v>
      </c>
      <c r="O12" s="45">
        <v>4</v>
      </c>
      <c r="P12" s="44">
        <v>1</v>
      </c>
      <c r="Q12" s="45">
        <v>9</v>
      </c>
      <c r="R12" s="47">
        <f>IF($AT$52&gt;2,HLOOKUP($AT$52,$B$3:$Q$48,10,FALSE),0)</f>
        <v>3</v>
      </c>
      <c r="S12" s="48">
        <f>IF($AT$52&gt;2,HLOOKUP($AT$57,$B$3:$Q$48,10,FALSE),0)</f>
        <v>4</v>
      </c>
      <c r="T12" s="525" t="str">
        <f t="shared" si="19"/>
        <v>RSVL Gifhorn I</v>
      </c>
      <c r="U12" s="526"/>
      <c r="V12" s="527" t="str">
        <f t="shared" si="20"/>
        <v>RCG Hahndorf I</v>
      </c>
      <c r="W12" s="527"/>
      <c r="X12" s="34">
        <f>IF(ISNUMBER(Y12),'Lizenz Nr.- Eingabe'!P40,"")</f>
        <v>2</v>
      </c>
      <c r="Y12" s="35">
        <f>IF(OR('Lizenz Nr.- Eingabe'!S40="x",ISNUMBER('Lizenz Nr.- Eingabe'!S40)),'Lizenz Nr.- Eingabe'!S40,"")</f>
        <v>0</v>
      </c>
      <c r="Z12" s="6">
        <f t="shared" si="21"/>
        <v>3</v>
      </c>
      <c r="AA12" s="49">
        <f t="shared" si="22"/>
      </c>
      <c r="AB12" s="50">
        <f t="shared" si="0"/>
      </c>
      <c r="AC12" s="6">
        <f t="shared" si="35"/>
        <v>3</v>
      </c>
      <c r="AD12" s="51">
        <f t="shared" si="1"/>
      </c>
      <c r="AE12" s="52">
        <f t="shared" si="2"/>
      </c>
      <c r="AF12" s="6">
        <f t="shared" si="23"/>
        <v>4</v>
      </c>
      <c r="AG12" s="49">
        <f t="shared" si="3"/>
        <v>2</v>
      </c>
      <c r="AH12" s="50">
        <f t="shared" si="4"/>
        <v>0</v>
      </c>
      <c r="AI12" s="6">
        <f t="shared" si="24"/>
        <v>4</v>
      </c>
      <c r="AJ12" s="51">
        <f t="shared" si="5"/>
        <v>0</v>
      </c>
      <c r="AK12" s="52">
        <f t="shared" si="6"/>
        <v>2</v>
      </c>
      <c r="AL12" s="6">
        <f t="shared" si="25"/>
        <v>4</v>
      </c>
      <c r="AM12" s="49">
        <f t="shared" si="7"/>
      </c>
      <c r="AN12" s="50">
        <f t="shared" si="8"/>
      </c>
      <c r="AO12" s="6">
        <f t="shared" si="26"/>
        <v>0</v>
      </c>
      <c r="AP12" s="51">
        <f t="shared" si="9"/>
      </c>
      <c r="AQ12" s="52">
        <f t="shared" si="10"/>
      </c>
      <c r="AR12" s="6">
        <f t="shared" si="27"/>
        <v>0</v>
      </c>
      <c r="AS12" s="49">
        <f t="shared" si="11"/>
      </c>
      <c r="AT12" s="50">
        <f t="shared" si="12"/>
      </c>
      <c r="AU12" s="6">
        <f t="shared" si="28"/>
        <v>0</v>
      </c>
      <c r="AV12" s="51">
        <f t="shared" si="13"/>
      </c>
      <c r="AW12" s="52">
        <f t="shared" si="14"/>
      </c>
      <c r="AX12" s="6">
        <f t="shared" si="29"/>
        <v>0</v>
      </c>
      <c r="AY12" s="49">
        <f t="shared" si="15"/>
      </c>
      <c r="AZ12" s="50">
        <f t="shared" si="16"/>
      </c>
      <c r="BA12" s="6">
        <f t="shared" si="30"/>
        <v>0</v>
      </c>
      <c r="BB12" s="51">
        <f t="shared" si="17"/>
      </c>
      <c r="BC12" s="53">
        <f t="shared" si="18"/>
      </c>
      <c r="BE12" s="18">
        <f>IF(ISNUMBER(BE3),SUM(BE3:BE11),"")</f>
        <v>20</v>
      </c>
      <c r="BF12" s="19">
        <f>IF(ISNUMBER(BF3),SUM(BF3:BF11),"")</f>
        <v>3</v>
      </c>
      <c r="BG12" s="18">
        <f>IF(ISNUMBER(BG3),SUM(BG3:BG11),"")</f>
        <v>12</v>
      </c>
      <c r="BH12" s="20">
        <f>IF(ISNUMBER(BH3),SUM(BH3:BH11),"")</f>
        <v>0</v>
      </c>
      <c r="BI12" s="21"/>
      <c r="BJ12" s="18">
        <f>IF(ISNUMBER(BJ3),SUM(BJ3:BJ11),"")</f>
        <v>16</v>
      </c>
      <c r="BK12" s="19">
        <f>IF(ISNUMBER(BK3),SUM(BK3:BK11),"")</f>
        <v>4</v>
      </c>
      <c r="BL12" s="18">
        <f>IF(ISNUMBER(BL3),SUM(BL3:BL11),"")</f>
        <v>9</v>
      </c>
      <c r="BM12" s="20">
        <f>IF(ISNUMBER(BM3),SUM(BM3:BM11),"")</f>
        <v>3</v>
      </c>
    </row>
    <row r="13" spans="1:65" ht="9.75" customHeight="1" thickBot="1">
      <c r="A13" s="3"/>
      <c r="B13" s="56"/>
      <c r="C13" s="56"/>
      <c r="D13" s="44">
        <v>2</v>
      </c>
      <c r="E13" s="45">
        <v>4</v>
      </c>
      <c r="F13" s="54">
        <v>1</v>
      </c>
      <c r="G13" s="55">
        <v>2</v>
      </c>
      <c r="H13" s="44">
        <v>4</v>
      </c>
      <c r="I13" s="45">
        <v>5</v>
      </c>
      <c r="J13" s="44">
        <v>2</v>
      </c>
      <c r="K13" s="45">
        <v>4</v>
      </c>
      <c r="L13" s="44">
        <v>4</v>
      </c>
      <c r="M13" s="45">
        <v>7</v>
      </c>
      <c r="N13" s="44">
        <v>3</v>
      </c>
      <c r="O13" s="45">
        <v>8</v>
      </c>
      <c r="P13" s="44">
        <v>6</v>
      </c>
      <c r="Q13" s="45">
        <v>7</v>
      </c>
      <c r="R13" s="47">
        <f>IF($AT$52&gt;2,HLOOKUP($AT$52,$B$3:$Q$48,11,FALSE),0)</f>
        <v>1</v>
      </c>
      <c r="S13" s="48">
        <f>IF($AT$52&gt;2,HLOOKUP($AT$57,$B$3:$Q$48,11,FALSE),0)</f>
        <v>2</v>
      </c>
      <c r="T13" s="525" t="str">
        <f t="shared" si="19"/>
        <v>RVS Obernfeld I</v>
      </c>
      <c r="U13" s="526"/>
      <c r="V13" s="527" t="str">
        <f t="shared" si="20"/>
        <v>RVM Bilshausen II</v>
      </c>
      <c r="W13" s="527"/>
      <c r="X13" s="34">
        <f>IF(ISNUMBER(Y13),'Lizenz Nr.- Eingabe'!P41,"")</f>
        <v>3</v>
      </c>
      <c r="Y13" s="35">
        <f>IF(OR('Lizenz Nr.- Eingabe'!S41="x",ISNUMBER('Lizenz Nr.- Eingabe'!S41)),'Lizenz Nr.- Eingabe'!S41,"")</f>
        <v>2</v>
      </c>
      <c r="Z13" s="6">
        <f t="shared" si="21"/>
        <v>4</v>
      </c>
      <c r="AA13" s="49">
        <f t="shared" si="22"/>
        <v>3</v>
      </c>
      <c r="AB13" s="50">
        <f t="shared" si="0"/>
        <v>2</v>
      </c>
      <c r="AC13" s="6">
        <f t="shared" si="35"/>
        <v>4</v>
      </c>
      <c r="AD13" s="51">
        <f t="shared" si="1"/>
        <v>2</v>
      </c>
      <c r="AE13" s="52">
        <f t="shared" si="2"/>
        <v>3</v>
      </c>
      <c r="AF13" s="6">
        <f t="shared" si="23"/>
        <v>4</v>
      </c>
      <c r="AG13" s="49">
        <f t="shared" si="3"/>
      </c>
      <c r="AH13" s="50">
        <f t="shared" si="4"/>
      </c>
      <c r="AI13" s="6">
        <f t="shared" si="24"/>
        <v>4</v>
      </c>
      <c r="AJ13" s="51">
        <f t="shared" si="5"/>
      </c>
      <c r="AK13" s="52">
        <f t="shared" si="6"/>
      </c>
      <c r="AL13" s="6">
        <f t="shared" si="25"/>
        <v>4</v>
      </c>
      <c r="AM13" s="49">
        <f t="shared" si="7"/>
      </c>
      <c r="AN13" s="50">
        <f t="shared" si="8"/>
      </c>
      <c r="AO13" s="6">
        <f t="shared" si="26"/>
        <v>0</v>
      </c>
      <c r="AP13" s="51">
        <f t="shared" si="9"/>
      </c>
      <c r="AQ13" s="52">
        <f t="shared" si="10"/>
      </c>
      <c r="AR13" s="6">
        <f t="shared" si="27"/>
        <v>0</v>
      </c>
      <c r="AS13" s="49">
        <f t="shared" si="11"/>
      </c>
      <c r="AT13" s="50">
        <f t="shared" si="12"/>
      </c>
      <c r="AU13" s="6">
        <f t="shared" si="28"/>
        <v>0</v>
      </c>
      <c r="AV13" s="51">
        <f t="shared" si="13"/>
      </c>
      <c r="AW13" s="52">
        <f t="shared" si="14"/>
      </c>
      <c r="AX13" s="6">
        <f t="shared" si="29"/>
        <v>0</v>
      </c>
      <c r="AY13" s="49">
        <f t="shared" si="15"/>
      </c>
      <c r="AZ13" s="50">
        <f t="shared" si="16"/>
      </c>
      <c r="BA13" s="6">
        <f t="shared" si="30"/>
        <v>0</v>
      </c>
      <c r="BB13" s="51">
        <f t="shared" si="17"/>
      </c>
      <c r="BC13" s="53">
        <f t="shared" si="18"/>
      </c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9.75" customHeight="1" thickBot="1">
      <c r="A14" s="3"/>
      <c r="B14" s="56"/>
      <c r="C14" s="56"/>
      <c r="D14" s="44">
        <v>3</v>
      </c>
      <c r="E14" s="45">
        <v>4</v>
      </c>
      <c r="F14" s="56"/>
      <c r="G14" s="56"/>
      <c r="H14" s="44">
        <v>2</v>
      </c>
      <c r="I14" s="45">
        <v>6</v>
      </c>
      <c r="J14" s="44">
        <v>3</v>
      </c>
      <c r="K14" s="45">
        <v>7</v>
      </c>
      <c r="L14" s="44">
        <v>3</v>
      </c>
      <c r="M14" s="45">
        <v>8</v>
      </c>
      <c r="N14" s="59">
        <v>1</v>
      </c>
      <c r="O14" s="45">
        <v>9</v>
      </c>
      <c r="P14" s="44">
        <v>2</v>
      </c>
      <c r="Q14" s="45">
        <v>5</v>
      </c>
      <c r="R14" s="47">
        <f>IF($AT$52&gt;2,HLOOKUP($AT$52,$B$3:$Q$48,12,FALSE),0)</f>
        <v>0</v>
      </c>
      <c r="S14" s="48">
        <f>IF($AT$52&gt;2,HLOOKUP($AT$57,$B$3:$Q$48,12,FALSE),0)</f>
        <v>0</v>
      </c>
      <c r="T14" s="525">
        <f t="shared" si="19"/>
      </c>
      <c r="U14" s="526"/>
      <c r="V14" s="527">
        <f t="shared" si="20"/>
      </c>
      <c r="W14" s="527"/>
      <c r="X14" s="34">
        <f>IF(ISNUMBER(Y14),'Lizenz Nr.- Eingabe'!P42,"")</f>
      </c>
      <c r="Y14" s="35">
        <f>IF(OR('Lizenz Nr.- Eingabe'!S42="x",ISNUMBER('Lizenz Nr.- Eingabe'!S42)),'Lizenz Nr.- Eingabe'!S42,"")</f>
      </c>
      <c r="Z14" s="6">
        <f t="shared" si="21"/>
        <v>4</v>
      </c>
      <c r="AA14" s="49">
        <f t="shared" si="22"/>
      </c>
      <c r="AB14" s="50">
        <f t="shared" si="0"/>
      </c>
      <c r="AC14" s="6">
        <f t="shared" si="35"/>
        <v>4</v>
      </c>
      <c r="AD14" s="51">
        <f t="shared" si="1"/>
      </c>
      <c r="AE14" s="52">
        <f t="shared" si="2"/>
      </c>
      <c r="AF14" s="6">
        <f t="shared" si="23"/>
        <v>4</v>
      </c>
      <c r="AG14" s="49">
        <f t="shared" si="3"/>
      </c>
      <c r="AH14" s="50">
        <f t="shared" si="4"/>
      </c>
      <c r="AI14" s="6">
        <f t="shared" si="24"/>
        <v>4</v>
      </c>
      <c r="AJ14" s="51">
        <f t="shared" si="5"/>
      </c>
      <c r="AK14" s="52">
        <f t="shared" si="6"/>
      </c>
      <c r="AL14" s="6">
        <f t="shared" si="25"/>
        <v>4</v>
      </c>
      <c r="AM14" s="49">
        <f t="shared" si="7"/>
      </c>
      <c r="AN14" s="50">
        <f t="shared" si="8"/>
      </c>
      <c r="AO14" s="6">
        <f t="shared" si="26"/>
        <v>0</v>
      </c>
      <c r="AP14" s="51">
        <f t="shared" si="9"/>
      </c>
      <c r="AQ14" s="52">
        <f t="shared" si="10"/>
      </c>
      <c r="AR14" s="6">
        <f t="shared" si="27"/>
        <v>0</v>
      </c>
      <c r="AS14" s="49">
        <f t="shared" si="11"/>
      </c>
      <c r="AT14" s="50">
        <f t="shared" si="12"/>
      </c>
      <c r="AU14" s="6">
        <f t="shared" si="28"/>
        <v>0</v>
      </c>
      <c r="AV14" s="51">
        <f t="shared" si="13"/>
      </c>
      <c r="AW14" s="52">
        <f t="shared" si="14"/>
      </c>
      <c r="AX14" s="6">
        <f t="shared" si="29"/>
        <v>0</v>
      </c>
      <c r="AY14" s="49">
        <f t="shared" si="15"/>
      </c>
      <c r="AZ14" s="50">
        <f t="shared" si="16"/>
      </c>
      <c r="BA14" s="6">
        <f t="shared" si="30"/>
        <v>0</v>
      </c>
      <c r="BB14" s="51">
        <f t="shared" si="17"/>
      </c>
      <c r="BC14" s="53">
        <f t="shared" si="18"/>
      </c>
      <c r="BE14" s="498" t="str">
        <f>C54</f>
        <v>RSVL Gifhorn I</v>
      </c>
      <c r="BF14" s="499"/>
      <c r="BG14" s="499"/>
      <c r="BH14" s="500"/>
      <c r="BI14" s="17"/>
      <c r="BJ14" s="498" t="str">
        <f>C55</f>
        <v>RCG Hahndorf I</v>
      </c>
      <c r="BK14" s="499"/>
      <c r="BL14" s="499"/>
      <c r="BM14" s="500"/>
    </row>
    <row r="15" spans="1:65" ht="9.75" customHeight="1" thickBot="1">
      <c r="A15" s="3"/>
      <c r="B15" s="21"/>
      <c r="C15" s="56"/>
      <c r="D15" s="54">
        <v>1</v>
      </c>
      <c r="E15" s="55">
        <v>2</v>
      </c>
      <c r="F15" s="56"/>
      <c r="G15" s="56"/>
      <c r="H15" s="44">
        <v>1</v>
      </c>
      <c r="I15" s="45">
        <v>3</v>
      </c>
      <c r="J15" s="44">
        <v>5</v>
      </c>
      <c r="K15" s="45">
        <v>6</v>
      </c>
      <c r="L15" s="44">
        <v>2</v>
      </c>
      <c r="M15" s="45">
        <v>5</v>
      </c>
      <c r="N15" s="44">
        <v>4</v>
      </c>
      <c r="O15" s="45">
        <v>7</v>
      </c>
      <c r="P15" s="44">
        <v>8</v>
      </c>
      <c r="Q15" s="45">
        <v>9</v>
      </c>
      <c r="R15" s="47">
        <f>IF($AT$52&gt;2,HLOOKUP($AT$52,$B$3:$Q$48,13,FALSE),0)</f>
        <v>0</v>
      </c>
      <c r="S15" s="48">
        <f>IF($AT$52&gt;2,HLOOKUP($AT$57,$B$3:$Q$48,13,FALSE),0)</f>
        <v>0</v>
      </c>
      <c r="T15" s="525">
        <f t="shared" si="19"/>
      </c>
      <c r="U15" s="526"/>
      <c r="V15" s="527">
        <f t="shared" si="20"/>
      </c>
      <c r="W15" s="527"/>
      <c r="X15" s="34">
        <f>IF(ISNUMBER(Y15),'Lizenz Nr.- Eingabe'!P43,"")</f>
      </c>
      <c r="Y15" s="35">
        <f>IF(OR('Lizenz Nr.- Eingabe'!S43="x",ISNUMBER('Lizenz Nr.- Eingabe'!S43)),'Lizenz Nr.- Eingabe'!S43,"")</f>
      </c>
      <c r="Z15" s="6">
        <f t="shared" si="21"/>
        <v>4</v>
      </c>
      <c r="AA15" s="49">
        <f t="shared" si="22"/>
      </c>
      <c r="AB15" s="50">
        <f t="shared" si="0"/>
      </c>
      <c r="AC15" s="6">
        <f t="shared" si="35"/>
        <v>4</v>
      </c>
      <c r="AD15" s="51">
        <f t="shared" si="1"/>
      </c>
      <c r="AE15" s="52">
        <f t="shared" si="2"/>
      </c>
      <c r="AF15" s="6">
        <f t="shared" si="23"/>
        <v>4</v>
      </c>
      <c r="AG15" s="49">
        <f t="shared" si="3"/>
      </c>
      <c r="AH15" s="50">
        <f t="shared" si="4"/>
      </c>
      <c r="AI15" s="6">
        <f t="shared" si="24"/>
        <v>4</v>
      </c>
      <c r="AJ15" s="51">
        <f t="shared" si="5"/>
      </c>
      <c r="AK15" s="52">
        <f t="shared" si="6"/>
      </c>
      <c r="AL15" s="6">
        <f t="shared" si="25"/>
        <v>4</v>
      </c>
      <c r="AM15" s="49">
        <f t="shared" si="7"/>
      </c>
      <c r="AN15" s="50">
        <f t="shared" si="8"/>
      </c>
      <c r="AO15" s="6">
        <f t="shared" si="26"/>
        <v>0</v>
      </c>
      <c r="AP15" s="51">
        <f t="shared" si="9"/>
      </c>
      <c r="AQ15" s="52">
        <f t="shared" si="10"/>
      </c>
      <c r="AR15" s="6">
        <f t="shared" si="27"/>
        <v>0</v>
      </c>
      <c r="AS15" s="49">
        <f t="shared" si="11"/>
      </c>
      <c r="AT15" s="50">
        <f t="shared" si="12"/>
      </c>
      <c r="AU15" s="6">
        <f t="shared" si="28"/>
        <v>0</v>
      </c>
      <c r="AV15" s="51">
        <f t="shared" si="13"/>
      </c>
      <c r="AW15" s="52">
        <f t="shared" si="14"/>
      </c>
      <c r="AX15" s="6">
        <f t="shared" si="29"/>
        <v>0</v>
      </c>
      <c r="AY15" s="49">
        <f t="shared" si="15"/>
      </c>
      <c r="AZ15" s="50">
        <f t="shared" si="16"/>
      </c>
      <c r="BA15" s="6">
        <f t="shared" si="30"/>
        <v>0</v>
      </c>
      <c r="BB15" s="51">
        <f t="shared" si="17"/>
      </c>
      <c r="BC15" s="53">
        <f t="shared" si="18"/>
      </c>
      <c r="BE15" s="27">
        <f>IF(AF48&gt;0,VLOOKUP(1,AF4:AH48,2,FALSE),"")</f>
        <v>1</v>
      </c>
      <c r="BF15" s="28">
        <f>IF(AF48&gt;0,VLOOKUP(1,AF4:AH48,3,FALSE),"")</f>
        <v>3</v>
      </c>
      <c r="BG15" s="27">
        <f>IF(ISNUMBER(BF15),IF(BE15=BF15,1,IF(BE15&gt;BF15,$BB$52,0)),"")</f>
        <v>0</v>
      </c>
      <c r="BH15" s="89">
        <f>IF(ISNUMBER(BF15),IF(BE15=BF15,1,IF(BE15&lt;BF15,$BB$52,0)),"")</f>
        <v>3</v>
      </c>
      <c r="BI15" s="17"/>
      <c r="BJ15" s="27">
        <f>IF(AI48&gt;0,VLOOKUP(1,AI4:AK48,2,FALSE),"")</f>
        <v>0</v>
      </c>
      <c r="BK15" s="28">
        <f>IF(AI48&gt;0,VLOOKUP(1,AI4:AK48,3,FALSE),"")</f>
        <v>6</v>
      </c>
      <c r="BL15" s="27">
        <f>IF(ISNUMBER(BK15),IF(BJ15=BK15,1,IF(BJ15&gt;BK15,$BB$52,0)),"")</f>
        <v>0</v>
      </c>
      <c r="BM15" s="89">
        <f>IF(ISNUMBER(BK15),IF(BJ15=BK15,1,IF(BJ15&lt;BK15,$BB$52,0)),"")</f>
        <v>3</v>
      </c>
    </row>
    <row r="16" spans="1:65" ht="9.75" customHeight="1">
      <c r="A16" s="3"/>
      <c r="B16" s="56"/>
      <c r="C16" s="56"/>
      <c r="D16" s="56"/>
      <c r="E16" s="56"/>
      <c r="F16" s="56"/>
      <c r="G16" s="56"/>
      <c r="H16" s="44">
        <v>5</v>
      </c>
      <c r="I16" s="45">
        <v>6</v>
      </c>
      <c r="J16" s="44">
        <v>1</v>
      </c>
      <c r="K16" s="45">
        <v>4</v>
      </c>
      <c r="L16" s="44">
        <v>3</v>
      </c>
      <c r="M16" s="45">
        <v>7</v>
      </c>
      <c r="N16" s="44">
        <v>2</v>
      </c>
      <c r="O16" s="45">
        <v>6</v>
      </c>
      <c r="P16" s="44">
        <v>4</v>
      </c>
      <c r="Q16" s="45">
        <v>7</v>
      </c>
      <c r="R16" s="47">
        <f>IF($AT$52&gt;2,HLOOKUP($AT$52,$B$3:$Q$48,14,FALSE),0)</f>
        <v>0</v>
      </c>
      <c r="S16" s="48">
        <f>IF($AT$52&gt;2,HLOOKUP($AT$57,$B$3:$Q$48,14,FALSE),0)</f>
        <v>0</v>
      </c>
      <c r="T16" s="525">
        <f t="shared" si="19"/>
      </c>
      <c r="U16" s="526"/>
      <c r="V16" s="527">
        <f t="shared" si="20"/>
      </c>
      <c r="W16" s="527"/>
      <c r="X16" s="34">
        <f>IF(ISNUMBER(Y16),'Lizenz Nr.- Eingabe'!P44,"")</f>
      </c>
      <c r="Y16" s="35">
        <f>IF(OR('Lizenz Nr.- Eingabe'!S44="x",ISNUMBER('Lizenz Nr.- Eingabe'!S44)),'Lizenz Nr.- Eingabe'!S44,"")</f>
      </c>
      <c r="Z16" s="6">
        <f t="shared" si="21"/>
        <v>4</v>
      </c>
      <c r="AA16" s="49">
        <f t="shared" si="22"/>
      </c>
      <c r="AB16" s="50">
        <f t="shared" si="0"/>
      </c>
      <c r="AC16" s="6">
        <f t="shared" si="35"/>
        <v>4</v>
      </c>
      <c r="AD16" s="51">
        <f t="shared" si="1"/>
      </c>
      <c r="AE16" s="52">
        <f t="shared" si="2"/>
      </c>
      <c r="AF16" s="6">
        <f t="shared" si="23"/>
        <v>4</v>
      </c>
      <c r="AG16" s="49">
        <f t="shared" si="3"/>
      </c>
      <c r="AH16" s="50">
        <f t="shared" si="4"/>
      </c>
      <c r="AI16" s="6">
        <f t="shared" si="24"/>
        <v>4</v>
      </c>
      <c r="AJ16" s="51">
        <f t="shared" si="5"/>
      </c>
      <c r="AK16" s="52">
        <f t="shared" si="6"/>
      </c>
      <c r="AL16" s="6">
        <f t="shared" si="25"/>
        <v>4</v>
      </c>
      <c r="AM16" s="49">
        <f t="shared" si="7"/>
      </c>
      <c r="AN16" s="50">
        <f t="shared" si="8"/>
      </c>
      <c r="AO16" s="6">
        <f t="shared" si="26"/>
        <v>0</v>
      </c>
      <c r="AP16" s="51">
        <f t="shared" si="9"/>
      </c>
      <c r="AQ16" s="52">
        <f t="shared" si="10"/>
      </c>
      <c r="AR16" s="6">
        <f t="shared" si="27"/>
        <v>0</v>
      </c>
      <c r="AS16" s="49">
        <f t="shared" si="11"/>
      </c>
      <c r="AT16" s="50">
        <f t="shared" si="12"/>
      </c>
      <c r="AU16" s="6">
        <f t="shared" si="28"/>
        <v>0</v>
      </c>
      <c r="AV16" s="51">
        <f t="shared" si="13"/>
      </c>
      <c r="AW16" s="52">
        <f t="shared" si="14"/>
      </c>
      <c r="AX16" s="6">
        <f t="shared" si="29"/>
        <v>0</v>
      </c>
      <c r="AY16" s="49">
        <f t="shared" si="15"/>
      </c>
      <c r="AZ16" s="50">
        <f t="shared" si="16"/>
      </c>
      <c r="BA16" s="6">
        <f t="shared" si="30"/>
        <v>0</v>
      </c>
      <c r="BB16" s="51">
        <f t="shared" si="17"/>
      </c>
      <c r="BC16" s="53">
        <f t="shared" si="18"/>
      </c>
      <c r="BE16" s="42">
        <f>IF(AF48&gt;1,VLOOKUP(2,AF4:AH48,2,FALSE),"")</f>
        <v>0</v>
      </c>
      <c r="BF16" s="43">
        <f>IF(AF48&gt;1,VLOOKUP(2,AF4:AH48,3,FALSE),"")</f>
        <v>3</v>
      </c>
      <c r="BG16" s="42">
        <f>IF(ISNUMBER(BF16),IF(BE16=BF16,1,IF(BE16&gt;BF16,$BB$52,0)),"")</f>
        <v>0</v>
      </c>
      <c r="BH16" s="62">
        <f>IF(ISNUMBER(BF16),IF(BE16=BF16,1,IF(BE16&lt;BF16,$BB$52,0)),"")</f>
        <v>3</v>
      </c>
      <c r="BI16" s="17"/>
      <c r="BJ16" s="42">
        <f>IF(AI48&gt;1,VLOOKUP(2,AI4:AK48,2,FALSE),"")</f>
        <v>0</v>
      </c>
      <c r="BK16" s="43">
        <f>IF(AI48&gt;1,VLOOKUP(2,AI4:AK48,3,FALSE),"")</f>
        <v>10</v>
      </c>
      <c r="BL16" s="42">
        <f>IF(ISNUMBER(BK16),IF(BJ16=BK16,1,IF(BJ16&gt;BK16,$BB$52,0)),"")</f>
        <v>0</v>
      </c>
      <c r="BM16" s="62">
        <f>IF(ISNUMBER(BK16),IF(BJ16=BK16,1,IF(BJ16&lt;BK16,$BB$52,0)),"")</f>
        <v>3</v>
      </c>
    </row>
    <row r="17" spans="1:65" ht="9.75" customHeight="1">
      <c r="A17" s="3"/>
      <c r="B17" s="56"/>
      <c r="C17" s="56"/>
      <c r="D17" s="56"/>
      <c r="E17" s="56"/>
      <c r="F17" s="56"/>
      <c r="G17" s="56"/>
      <c r="H17" s="44">
        <v>3</v>
      </c>
      <c r="I17" s="45">
        <v>4</v>
      </c>
      <c r="J17" s="44">
        <v>2</v>
      </c>
      <c r="K17" s="45">
        <v>3</v>
      </c>
      <c r="L17" s="44">
        <v>6</v>
      </c>
      <c r="M17" s="45">
        <v>8</v>
      </c>
      <c r="N17" s="44">
        <v>5</v>
      </c>
      <c r="O17" s="45">
        <v>9</v>
      </c>
      <c r="P17" s="44">
        <v>3</v>
      </c>
      <c r="Q17" s="45">
        <v>6</v>
      </c>
      <c r="R17" s="47">
        <f>IF($AT$52&gt;2,HLOOKUP($AT$52,$B$3:$Q$48,15,FALSE),0)</f>
        <v>0</v>
      </c>
      <c r="S17" s="48">
        <f>IF($AT$52&gt;2,HLOOKUP($AT$57,$B$3:$Q$48,15,FALSE),0)</f>
        <v>0</v>
      </c>
      <c r="T17" s="525">
        <f t="shared" si="19"/>
      </c>
      <c r="U17" s="526"/>
      <c r="V17" s="527">
        <f t="shared" si="20"/>
      </c>
      <c r="W17" s="527"/>
      <c r="X17" s="34">
        <f>IF(ISNUMBER(Y17),'Lizenz Nr.- Eingabe'!P45,"")</f>
      </c>
      <c r="Y17" s="35">
        <f>IF(OR('Lizenz Nr.- Eingabe'!S45="x",ISNUMBER('Lizenz Nr.- Eingabe'!S45)),'Lizenz Nr.- Eingabe'!S45,"")</f>
      </c>
      <c r="Z17" s="6">
        <f t="shared" si="21"/>
        <v>4</v>
      </c>
      <c r="AA17" s="49">
        <f t="shared" si="22"/>
      </c>
      <c r="AB17" s="50">
        <f t="shared" si="0"/>
      </c>
      <c r="AC17" s="6">
        <f t="shared" si="35"/>
        <v>4</v>
      </c>
      <c r="AD17" s="51">
        <f t="shared" si="1"/>
      </c>
      <c r="AE17" s="52">
        <f t="shared" si="2"/>
      </c>
      <c r="AF17" s="6">
        <f t="shared" si="23"/>
        <v>4</v>
      </c>
      <c r="AG17" s="49">
        <f t="shared" si="3"/>
      </c>
      <c r="AH17" s="50">
        <f t="shared" si="4"/>
      </c>
      <c r="AI17" s="6">
        <f t="shared" si="24"/>
        <v>4</v>
      </c>
      <c r="AJ17" s="51">
        <f t="shared" si="5"/>
      </c>
      <c r="AK17" s="52">
        <f t="shared" si="6"/>
      </c>
      <c r="AL17" s="6">
        <f t="shared" si="25"/>
        <v>4</v>
      </c>
      <c r="AM17" s="49">
        <f t="shared" si="7"/>
      </c>
      <c r="AN17" s="50">
        <f t="shared" si="8"/>
      </c>
      <c r="AO17" s="6">
        <f t="shared" si="26"/>
        <v>0</v>
      </c>
      <c r="AP17" s="51">
        <f t="shared" si="9"/>
      </c>
      <c r="AQ17" s="52">
        <f t="shared" si="10"/>
      </c>
      <c r="AR17" s="6">
        <f t="shared" si="27"/>
        <v>0</v>
      </c>
      <c r="AS17" s="49">
        <f t="shared" si="11"/>
      </c>
      <c r="AT17" s="50">
        <f t="shared" si="12"/>
      </c>
      <c r="AU17" s="6">
        <f t="shared" si="28"/>
        <v>0</v>
      </c>
      <c r="AV17" s="51">
        <f t="shared" si="13"/>
      </c>
      <c r="AW17" s="52">
        <f t="shared" si="14"/>
      </c>
      <c r="AX17" s="6">
        <f t="shared" si="29"/>
        <v>0</v>
      </c>
      <c r="AY17" s="49">
        <f t="shared" si="15"/>
      </c>
      <c r="AZ17" s="50">
        <f t="shared" si="16"/>
      </c>
      <c r="BA17" s="6">
        <f t="shared" si="30"/>
        <v>0</v>
      </c>
      <c r="BB17" s="51">
        <f t="shared" si="17"/>
      </c>
      <c r="BC17" s="53">
        <f t="shared" si="18"/>
      </c>
      <c r="BE17" s="42">
        <f>IF(AF48&gt;2,VLOOKUP(3,AF4:AH48,2,FALSE),"")</f>
        <v>0</v>
      </c>
      <c r="BF17" s="43">
        <f>IF(AF48&gt;2,VLOOKUP(3,AF4:AH48,3,FALSE),"")</f>
        <v>3</v>
      </c>
      <c r="BG17" s="42">
        <f aca="true" t="shared" si="36" ref="BG17:BG23">IF(ISNUMBER(BF17),IF(BE17=BF17,1,IF(BE17&gt;BF17,$BB$52,0)),"")</f>
        <v>0</v>
      </c>
      <c r="BH17" s="62">
        <f aca="true" t="shared" si="37" ref="BH17:BH22">IF(ISNUMBER(BF17),IF(BE17=BF17,1,IF(BE17&lt;BF17,$BB$52,0)),"")</f>
        <v>3</v>
      </c>
      <c r="BI17" s="17"/>
      <c r="BJ17" s="42">
        <f>IF(AI48&gt;2,VLOOKUP(3,AI4:AK48,2,FALSE),"")</f>
        <v>0</v>
      </c>
      <c r="BK17" s="43">
        <f>IF(AI48&gt;2,VLOOKUP(3,AI4:AK48,3,FALSE),"")</f>
        <v>8</v>
      </c>
      <c r="BL17" s="42">
        <f aca="true" t="shared" si="38" ref="BL17:BL23">IF(ISNUMBER(BK17),IF(BJ17=BK17,1,IF(BJ17&gt;BK17,$BB$52,0)),"")</f>
        <v>0</v>
      </c>
      <c r="BM17" s="62">
        <f aca="true" t="shared" si="39" ref="BM17:BM23">IF(ISNUMBER(BK17),IF(BJ17=BK17,1,IF(BJ17&lt;BK17,$BB$52,0)),"")</f>
        <v>3</v>
      </c>
    </row>
    <row r="18" spans="1:65" ht="9.75" customHeight="1" thickBot="1">
      <c r="A18" s="3"/>
      <c r="B18" s="56"/>
      <c r="C18" s="56"/>
      <c r="D18" s="56"/>
      <c r="E18" s="56"/>
      <c r="F18" s="56"/>
      <c r="G18" s="56"/>
      <c r="H18" s="54">
        <v>1</v>
      </c>
      <c r="I18" s="55">
        <v>2</v>
      </c>
      <c r="J18" s="44">
        <v>5</v>
      </c>
      <c r="K18" s="45">
        <v>7</v>
      </c>
      <c r="L18" s="44">
        <v>2</v>
      </c>
      <c r="M18" s="45">
        <v>4</v>
      </c>
      <c r="N18" s="44">
        <v>1</v>
      </c>
      <c r="O18" s="45">
        <v>3</v>
      </c>
      <c r="P18" s="44">
        <v>1</v>
      </c>
      <c r="Q18" s="46">
        <v>10</v>
      </c>
      <c r="R18" s="47">
        <f>IF($AT$52&gt;2,HLOOKUP($AT$52,$B$3:$Q$48,16,FALSE),0)</f>
        <v>0</v>
      </c>
      <c r="S18" s="48">
        <f>IF($AT$52&gt;2,HLOOKUP($AT$57,$B$3:$Q$48,16,FALSE),0)</f>
        <v>0</v>
      </c>
      <c r="T18" s="525">
        <f t="shared" si="19"/>
      </c>
      <c r="U18" s="526"/>
      <c r="V18" s="527">
        <f t="shared" si="20"/>
      </c>
      <c r="W18" s="527"/>
      <c r="X18" s="34">
        <f>IF(ISNUMBER(Y18),'Lizenz Nr.- Eingabe'!AG32,"")</f>
      </c>
      <c r="Y18" s="35">
        <f>IF(OR('Lizenz Nr.- Eingabe'!AJ32="x",ISNUMBER('Lizenz Nr.- Eingabe'!AJ32)),'Lizenz Nr.- Eingabe'!AJ32,"")</f>
      </c>
      <c r="Z18" s="6">
        <f t="shared" si="21"/>
        <v>4</v>
      </c>
      <c r="AA18" s="49">
        <f t="shared" si="22"/>
      </c>
      <c r="AB18" s="50">
        <f t="shared" si="0"/>
      </c>
      <c r="AC18" s="6">
        <f t="shared" si="35"/>
        <v>4</v>
      </c>
      <c r="AD18" s="51">
        <f t="shared" si="1"/>
      </c>
      <c r="AE18" s="52">
        <f t="shared" si="2"/>
      </c>
      <c r="AF18" s="6">
        <f t="shared" si="23"/>
        <v>4</v>
      </c>
      <c r="AG18" s="49">
        <f t="shared" si="3"/>
      </c>
      <c r="AH18" s="50">
        <f t="shared" si="4"/>
      </c>
      <c r="AI18" s="6">
        <f t="shared" si="24"/>
        <v>4</v>
      </c>
      <c r="AJ18" s="51">
        <f t="shared" si="5"/>
      </c>
      <c r="AK18" s="52">
        <f t="shared" si="6"/>
      </c>
      <c r="AL18" s="6">
        <f t="shared" si="25"/>
        <v>4</v>
      </c>
      <c r="AM18" s="49">
        <f t="shared" si="7"/>
      </c>
      <c r="AN18" s="50">
        <f t="shared" si="8"/>
      </c>
      <c r="AO18" s="6">
        <f t="shared" si="26"/>
        <v>0</v>
      </c>
      <c r="AP18" s="51">
        <f t="shared" si="9"/>
      </c>
      <c r="AQ18" s="52">
        <f t="shared" si="10"/>
      </c>
      <c r="AR18" s="6">
        <f t="shared" si="27"/>
        <v>0</v>
      </c>
      <c r="AS18" s="49">
        <f t="shared" si="11"/>
      </c>
      <c r="AT18" s="50">
        <f t="shared" si="12"/>
      </c>
      <c r="AU18" s="6">
        <f t="shared" si="28"/>
        <v>0</v>
      </c>
      <c r="AV18" s="51">
        <f t="shared" si="13"/>
      </c>
      <c r="AW18" s="52">
        <f t="shared" si="14"/>
      </c>
      <c r="AX18" s="6">
        <f t="shared" si="29"/>
        <v>0</v>
      </c>
      <c r="AY18" s="49">
        <f t="shared" si="15"/>
      </c>
      <c r="AZ18" s="50">
        <f t="shared" si="16"/>
      </c>
      <c r="BA18" s="6">
        <f t="shared" si="30"/>
        <v>0</v>
      </c>
      <c r="BB18" s="51">
        <f t="shared" si="17"/>
      </c>
      <c r="BC18" s="53">
        <f t="shared" si="18"/>
      </c>
      <c r="BE18" s="42">
        <f>IF(AF48&gt;3,VLOOKUP(4,AF4:AH48,2,FALSE),"")</f>
        <v>2</v>
      </c>
      <c r="BF18" s="43">
        <f>IF(AF48&gt;3,VLOOKUP(4,AF4:AH48,3,FALSE),"")</f>
        <v>0</v>
      </c>
      <c r="BG18" s="42">
        <f t="shared" si="36"/>
        <v>3</v>
      </c>
      <c r="BH18" s="62">
        <f t="shared" si="37"/>
        <v>0</v>
      </c>
      <c r="BI18" s="17"/>
      <c r="BJ18" s="42">
        <f>IF(AI48&gt;3,VLOOKUP(4,AI4:AK48,2,FALSE),"")</f>
        <v>0</v>
      </c>
      <c r="BK18" s="43">
        <f>IF(AI48&gt;3,VLOOKUP(4,AI4:AK48,3,FALSE),"")</f>
        <v>2</v>
      </c>
      <c r="BL18" s="42">
        <f t="shared" si="38"/>
        <v>0</v>
      </c>
      <c r="BM18" s="62">
        <f t="shared" si="39"/>
        <v>3</v>
      </c>
    </row>
    <row r="19" spans="1:65" ht="9.75" customHeight="1">
      <c r="A19" s="3"/>
      <c r="B19" s="56"/>
      <c r="C19" s="56"/>
      <c r="D19" s="56"/>
      <c r="E19" s="56"/>
      <c r="F19" s="56"/>
      <c r="G19" s="56"/>
      <c r="H19" s="56"/>
      <c r="I19" s="56"/>
      <c r="J19" s="44">
        <v>4</v>
      </c>
      <c r="K19" s="45">
        <v>6</v>
      </c>
      <c r="L19" s="44">
        <v>1</v>
      </c>
      <c r="M19" s="45">
        <v>5</v>
      </c>
      <c r="N19" s="44">
        <v>2</v>
      </c>
      <c r="O19" s="45">
        <v>8</v>
      </c>
      <c r="P19" s="44">
        <v>2</v>
      </c>
      <c r="Q19" s="45">
        <v>9</v>
      </c>
      <c r="R19" s="47">
        <f>IF($AT$52&gt;2,HLOOKUP($AT$52,$B$3:$Q$48,17,FALSE),0)</f>
        <v>0</v>
      </c>
      <c r="S19" s="48">
        <f>IF($AT$52&gt;2,HLOOKUP($AT$57,$B$3:$Q$48,17,FALSE),0)</f>
        <v>0</v>
      </c>
      <c r="T19" s="525">
        <f t="shared" si="19"/>
      </c>
      <c r="U19" s="526"/>
      <c r="V19" s="527">
        <f t="shared" si="20"/>
      </c>
      <c r="W19" s="527"/>
      <c r="X19" s="34">
        <f>IF(ISNUMBER(Y19),'Lizenz Nr.- Eingabe'!AG33,"")</f>
      </c>
      <c r="Y19" s="35">
        <f>IF(OR('Lizenz Nr.- Eingabe'!AJ33="x",ISNUMBER('Lizenz Nr.- Eingabe'!AJ33)),'Lizenz Nr.- Eingabe'!AJ33,"")</f>
      </c>
      <c r="Z19" s="6">
        <f t="shared" si="21"/>
        <v>4</v>
      </c>
      <c r="AA19" s="49">
        <f t="shared" si="22"/>
      </c>
      <c r="AB19" s="50">
        <f t="shared" si="0"/>
      </c>
      <c r="AC19" s="6">
        <f t="shared" si="35"/>
        <v>4</v>
      </c>
      <c r="AD19" s="51">
        <f t="shared" si="1"/>
      </c>
      <c r="AE19" s="52">
        <f t="shared" si="2"/>
      </c>
      <c r="AF19" s="6">
        <f t="shared" si="23"/>
        <v>4</v>
      </c>
      <c r="AG19" s="49">
        <f t="shared" si="3"/>
      </c>
      <c r="AH19" s="50">
        <f t="shared" si="4"/>
      </c>
      <c r="AI19" s="6">
        <f t="shared" si="24"/>
        <v>4</v>
      </c>
      <c r="AJ19" s="51">
        <f t="shared" si="5"/>
      </c>
      <c r="AK19" s="52">
        <f t="shared" si="6"/>
      </c>
      <c r="AL19" s="6">
        <f t="shared" si="25"/>
        <v>4</v>
      </c>
      <c r="AM19" s="49">
        <f t="shared" si="7"/>
      </c>
      <c r="AN19" s="50">
        <f t="shared" si="8"/>
      </c>
      <c r="AO19" s="6">
        <f t="shared" si="26"/>
        <v>0</v>
      </c>
      <c r="AP19" s="51">
        <f t="shared" si="9"/>
      </c>
      <c r="AQ19" s="52">
        <f t="shared" si="10"/>
      </c>
      <c r="AR19" s="6">
        <f t="shared" si="27"/>
        <v>0</v>
      </c>
      <c r="AS19" s="49">
        <f t="shared" si="11"/>
      </c>
      <c r="AT19" s="50">
        <f t="shared" si="12"/>
      </c>
      <c r="AU19" s="6">
        <f t="shared" si="28"/>
        <v>0</v>
      </c>
      <c r="AV19" s="51">
        <f t="shared" si="13"/>
      </c>
      <c r="AW19" s="52">
        <f t="shared" si="14"/>
      </c>
      <c r="AX19" s="6">
        <f t="shared" si="29"/>
        <v>0</v>
      </c>
      <c r="AY19" s="49">
        <f t="shared" si="15"/>
      </c>
      <c r="AZ19" s="50">
        <f t="shared" si="16"/>
      </c>
      <c r="BA19" s="6">
        <f t="shared" si="30"/>
        <v>0</v>
      </c>
      <c r="BB19" s="51">
        <f t="shared" si="17"/>
      </c>
      <c r="BC19" s="53">
        <f t="shared" si="18"/>
      </c>
      <c r="BE19" s="42">
        <f>IF(AF48&gt;4,VLOOKUP(5,AF4:AH48,2,FALSE),"")</f>
      </c>
      <c r="BF19" s="43">
        <f>IF(AF48&gt;4,VLOOKUP(5,AF4:AH48,3,FALSE),"")</f>
      </c>
      <c r="BG19" s="42">
        <f t="shared" si="36"/>
      </c>
      <c r="BH19" s="62">
        <f t="shared" si="37"/>
      </c>
      <c r="BI19" s="17"/>
      <c r="BJ19" s="42">
        <f>IF(AI48&gt;4,VLOOKUP(5,AI4:AK48,2,FALSE),"")</f>
      </c>
      <c r="BK19" s="43">
        <f>IF(AI48&gt;4,VLOOKUP(5,AI4:AK48,3,FALSE),"")</f>
      </c>
      <c r="BL19" s="42">
        <f t="shared" si="38"/>
      </c>
      <c r="BM19" s="62">
        <f t="shared" si="39"/>
      </c>
    </row>
    <row r="20" spans="1:65" ht="9.75" customHeight="1">
      <c r="A20" s="3"/>
      <c r="B20" s="56"/>
      <c r="C20" s="56"/>
      <c r="D20" s="56"/>
      <c r="E20" s="56"/>
      <c r="F20" s="56"/>
      <c r="G20" s="56"/>
      <c r="H20" s="56"/>
      <c r="I20" s="56"/>
      <c r="J20" s="44">
        <v>1</v>
      </c>
      <c r="K20" s="45">
        <v>3</v>
      </c>
      <c r="L20" s="44">
        <v>6</v>
      </c>
      <c r="M20" s="45">
        <v>7</v>
      </c>
      <c r="N20" s="44">
        <v>5</v>
      </c>
      <c r="O20" s="45">
        <v>7</v>
      </c>
      <c r="P20" s="44">
        <v>4</v>
      </c>
      <c r="Q20" s="45">
        <v>6</v>
      </c>
      <c r="R20" s="47">
        <f>IF($AT$52&gt;2,HLOOKUP($AT$52,$B$3:$Q$48,18,FALSE),0)</f>
        <v>0</v>
      </c>
      <c r="S20" s="48">
        <f>IF($AT$52&gt;2,HLOOKUP($AT$57,$B$3:$Q$48,18,FALSE),0)</f>
        <v>0</v>
      </c>
      <c r="T20" s="525">
        <f t="shared" si="19"/>
      </c>
      <c r="U20" s="526"/>
      <c r="V20" s="527">
        <f t="shared" si="20"/>
      </c>
      <c r="W20" s="527"/>
      <c r="X20" s="34">
        <f>IF(ISNUMBER(Y20),'Lizenz Nr.- Eingabe'!AG34,"")</f>
      </c>
      <c r="Y20" s="35">
        <f>IF(OR('Lizenz Nr.- Eingabe'!AJ34="x",ISNUMBER('Lizenz Nr.- Eingabe'!AJ34)),'Lizenz Nr.- Eingabe'!AJ34,"")</f>
      </c>
      <c r="Z20" s="6">
        <f t="shared" si="21"/>
        <v>4</v>
      </c>
      <c r="AA20" s="49">
        <f t="shared" si="22"/>
      </c>
      <c r="AB20" s="50">
        <f t="shared" si="0"/>
      </c>
      <c r="AC20" s="6">
        <f t="shared" si="35"/>
        <v>4</v>
      </c>
      <c r="AD20" s="51">
        <f t="shared" si="1"/>
      </c>
      <c r="AE20" s="52">
        <f t="shared" si="2"/>
      </c>
      <c r="AF20" s="6">
        <f t="shared" si="23"/>
        <v>4</v>
      </c>
      <c r="AG20" s="49">
        <f t="shared" si="3"/>
      </c>
      <c r="AH20" s="50">
        <f t="shared" si="4"/>
      </c>
      <c r="AI20" s="6">
        <f t="shared" si="24"/>
        <v>4</v>
      </c>
      <c r="AJ20" s="51">
        <f t="shared" si="5"/>
      </c>
      <c r="AK20" s="52">
        <f t="shared" si="6"/>
      </c>
      <c r="AL20" s="6">
        <f t="shared" si="25"/>
        <v>4</v>
      </c>
      <c r="AM20" s="49">
        <f t="shared" si="7"/>
      </c>
      <c r="AN20" s="50">
        <f t="shared" si="8"/>
      </c>
      <c r="AO20" s="6">
        <f t="shared" si="26"/>
        <v>0</v>
      </c>
      <c r="AP20" s="51">
        <f t="shared" si="9"/>
      </c>
      <c r="AQ20" s="52">
        <f t="shared" si="10"/>
      </c>
      <c r="AR20" s="6">
        <f t="shared" si="27"/>
        <v>0</v>
      </c>
      <c r="AS20" s="49">
        <f t="shared" si="11"/>
      </c>
      <c r="AT20" s="50">
        <f t="shared" si="12"/>
      </c>
      <c r="AU20" s="6">
        <f t="shared" si="28"/>
        <v>0</v>
      </c>
      <c r="AV20" s="51">
        <f t="shared" si="13"/>
      </c>
      <c r="AW20" s="52">
        <f t="shared" si="14"/>
      </c>
      <c r="AX20" s="6">
        <f t="shared" si="29"/>
        <v>0</v>
      </c>
      <c r="AY20" s="49">
        <f t="shared" si="15"/>
      </c>
      <c r="AZ20" s="50">
        <f t="shared" si="16"/>
      </c>
      <c r="BA20" s="6">
        <f t="shared" si="30"/>
        <v>0</v>
      </c>
      <c r="BB20" s="51">
        <f t="shared" si="17"/>
      </c>
      <c r="BC20" s="53">
        <f t="shared" si="18"/>
      </c>
      <c r="BE20" s="42">
        <f>IF(AF48&gt;5,VLOOKUP(6,AF4:AH48,2,FALSE),"")</f>
      </c>
      <c r="BF20" s="43">
        <f>IF(AF48&gt;5,VLOOKUP(6,AF4:AH48,3,FALSE),"")</f>
      </c>
      <c r="BG20" s="42">
        <f t="shared" si="36"/>
      </c>
      <c r="BH20" s="62">
        <f t="shared" si="37"/>
      </c>
      <c r="BI20" s="17"/>
      <c r="BJ20" s="42">
        <f>IF(AI48&gt;5,VLOOKUP(6,AI4:AK48,2,FALSE),"")</f>
      </c>
      <c r="BK20" s="43">
        <f>IF(AI48&gt;5,VLOOKUP(6,AI4:AK48,3,FALSE),"")</f>
      </c>
      <c r="BL20" s="42">
        <f t="shared" si="38"/>
      </c>
      <c r="BM20" s="62">
        <f t="shared" si="39"/>
      </c>
    </row>
    <row r="21" spans="1:65" ht="9.75" customHeight="1">
      <c r="A21" s="3"/>
      <c r="B21" s="56"/>
      <c r="C21" s="21"/>
      <c r="D21" s="21"/>
      <c r="E21" s="21"/>
      <c r="F21" s="21"/>
      <c r="G21" s="21"/>
      <c r="H21" s="21"/>
      <c r="I21" s="56"/>
      <c r="J21" s="44">
        <v>2</v>
      </c>
      <c r="K21" s="45">
        <v>7</v>
      </c>
      <c r="L21" s="44">
        <v>2</v>
      </c>
      <c r="M21" s="45">
        <v>3</v>
      </c>
      <c r="N21" s="44">
        <v>4</v>
      </c>
      <c r="O21" s="45">
        <v>6</v>
      </c>
      <c r="P21" s="44">
        <v>1</v>
      </c>
      <c r="Q21" s="45">
        <v>7</v>
      </c>
      <c r="R21" s="47">
        <f>IF($AT$52&gt;2,HLOOKUP($AT$52,$B$3:$Q$48,19,FALSE),0)</f>
        <v>0</v>
      </c>
      <c r="S21" s="48">
        <f>IF($AT$52&gt;2,HLOOKUP($AT$57,$B$3:$Q$48,19,FALSE),0)</f>
        <v>0</v>
      </c>
      <c r="T21" s="525">
        <f t="shared" si="19"/>
      </c>
      <c r="U21" s="526"/>
      <c r="V21" s="527">
        <f t="shared" si="20"/>
      </c>
      <c r="W21" s="527"/>
      <c r="X21" s="34">
        <f>IF(ISNUMBER(Y21),'Lizenz Nr.- Eingabe'!AG35,"")</f>
      </c>
      <c r="Y21" s="35">
        <f>IF(OR('Lizenz Nr.- Eingabe'!AJ35="x",ISNUMBER('Lizenz Nr.- Eingabe'!AJ35)),'Lizenz Nr.- Eingabe'!AJ35,"")</f>
      </c>
      <c r="Z21" s="6">
        <f t="shared" si="21"/>
        <v>4</v>
      </c>
      <c r="AA21" s="49">
        <f t="shared" si="22"/>
      </c>
      <c r="AB21" s="50">
        <f t="shared" si="0"/>
      </c>
      <c r="AC21" s="6">
        <f t="shared" si="35"/>
        <v>4</v>
      </c>
      <c r="AD21" s="51">
        <f t="shared" si="1"/>
      </c>
      <c r="AE21" s="52">
        <f t="shared" si="2"/>
      </c>
      <c r="AF21" s="6">
        <f t="shared" si="23"/>
        <v>4</v>
      </c>
      <c r="AG21" s="49">
        <f t="shared" si="3"/>
      </c>
      <c r="AH21" s="50">
        <f t="shared" si="4"/>
      </c>
      <c r="AI21" s="6">
        <f t="shared" si="24"/>
        <v>4</v>
      </c>
      <c r="AJ21" s="51">
        <f t="shared" si="5"/>
      </c>
      <c r="AK21" s="52">
        <f t="shared" si="6"/>
      </c>
      <c r="AL21" s="6">
        <f t="shared" si="25"/>
        <v>4</v>
      </c>
      <c r="AM21" s="49">
        <f t="shared" si="7"/>
      </c>
      <c r="AN21" s="50">
        <f t="shared" si="8"/>
      </c>
      <c r="AO21" s="6">
        <f t="shared" si="26"/>
        <v>0</v>
      </c>
      <c r="AP21" s="51">
        <f t="shared" si="9"/>
      </c>
      <c r="AQ21" s="52">
        <f t="shared" si="10"/>
      </c>
      <c r="AR21" s="6">
        <f t="shared" si="27"/>
        <v>0</v>
      </c>
      <c r="AS21" s="49">
        <f t="shared" si="11"/>
      </c>
      <c r="AT21" s="50">
        <f t="shared" si="12"/>
      </c>
      <c r="AU21" s="6">
        <f t="shared" si="28"/>
        <v>0</v>
      </c>
      <c r="AV21" s="51">
        <f t="shared" si="13"/>
      </c>
      <c r="AW21" s="52">
        <f t="shared" si="14"/>
      </c>
      <c r="AX21" s="6">
        <f t="shared" si="29"/>
        <v>0</v>
      </c>
      <c r="AY21" s="49">
        <f t="shared" si="15"/>
      </c>
      <c r="AZ21" s="50">
        <f t="shared" si="16"/>
      </c>
      <c r="BA21" s="6">
        <f t="shared" si="30"/>
        <v>0</v>
      </c>
      <c r="BB21" s="51">
        <f t="shared" si="17"/>
      </c>
      <c r="BC21" s="53">
        <f t="shared" si="18"/>
      </c>
      <c r="BE21" s="42">
        <f>IF(AF48&gt;6,VLOOKUP(7,AF4:AH48,2,FALSE),"")</f>
      </c>
      <c r="BF21" s="43">
        <f>IF(AF48&gt;6,VLOOKUP(7,AF4:AH48,3,FALSE),"")</f>
      </c>
      <c r="BG21" s="42">
        <f t="shared" si="36"/>
      </c>
      <c r="BH21" s="62">
        <f t="shared" si="37"/>
      </c>
      <c r="BI21" s="17"/>
      <c r="BJ21" s="42">
        <f>IF(AI48&gt;6,VLOOKUP(7,AI4:AK48,2,FALSE),"")</f>
      </c>
      <c r="BK21" s="43">
        <f>IF(AI48&gt;6,VLOOKUP(7,AI4:AK48,3,FALSE),"")</f>
      </c>
      <c r="BL21" s="42">
        <f t="shared" si="38"/>
      </c>
      <c r="BM21" s="62">
        <f t="shared" si="39"/>
      </c>
    </row>
    <row r="22" spans="1:65" ht="9.75" customHeight="1">
      <c r="A22" s="3"/>
      <c r="B22" s="56"/>
      <c r="C22" s="21"/>
      <c r="D22" s="21"/>
      <c r="E22" s="21"/>
      <c r="F22" s="21"/>
      <c r="G22" s="21"/>
      <c r="H22" s="21"/>
      <c r="I22" s="56"/>
      <c r="J22" s="44">
        <v>4</v>
      </c>
      <c r="K22" s="45">
        <v>5</v>
      </c>
      <c r="L22" s="44">
        <v>1</v>
      </c>
      <c r="M22" s="45">
        <v>4</v>
      </c>
      <c r="N22" s="44">
        <v>8</v>
      </c>
      <c r="O22" s="45">
        <v>9</v>
      </c>
      <c r="P22" s="44">
        <v>5</v>
      </c>
      <c r="Q22" s="45">
        <v>8</v>
      </c>
      <c r="R22" s="47">
        <f>IF($AT$52&gt;2,HLOOKUP($AT$52,$B$3:$Q$48,20,FALSE),0)</f>
        <v>0</v>
      </c>
      <c r="S22" s="48">
        <f>IF($AT$52&gt;2,HLOOKUP($AT$57,$B$3:$Q$48,20,FALSE),0)</f>
        <v>0</v>
      </c>
      <c r="T22" s="525">
        <f t="shared" si="19"/>
      </c>
      <c r="U22" s="526"/>
      <c r="V22" s="527">
        <f t="shared" si="20"/>
      </c>
      <c r="W22" s="527"/>
      <c r="X22" s="34">
        <f>IF(ISNUMBER(Y22),'Lizenz Nr.- Eingabe'!AG36,"")</f>
      </c>
      <c r="Y22" s="35">
        <f>IF(OR('Lizenz Nr.- Eingabe'!AJ36="x",ISNUMBER('Lizenz Nr.- Eingabe'!AJ36)),'Lizenz Nr.- Eingabe'!AJ36,"")</f>
      </c>
      <c r="Z22" s="6">
        <f t="shared" si="21"/>
        <v>4</v>
      </c>
      <c r="AA22" s="49">
        <f t="shared" si="22"/>
      </c>
      <c r="AB22" s="50">
        <f t="shared" si="0"/>
      </c>
      <c r="AC22" s="6">
        <f t="shared" si="35"/>
        <v>4</v>
      </c>
      <c r="AD22" s="51">
        <f t="shared" si="1"/>
      </c>
      <c r="AE22" s="52">
        <f t="shared" si="2"/>
      </c>
      <c r="AF22" s="6">
        <f t="shared" si="23"/>
        <v>4</v>
      </c>
      <c r="AG22" s="49">
        <f t="shared" si="3"/>
      </c>
      <c r="AH22" s="50">
        <f t="shared" si="4"/>
      </c>
      <c r="AI22" s="6">
        <f t="shared" si="24"/>
        <v>4</v>
      </c>
      <c r="AJ22" s="51">
        <f t="shared" si="5"/>
      </c>
      <c r="AK22" s="52">
        <f t="shared" si="6"/>
      </c>
      <c r="AL22" s="6">
        <f t="shared" si="25"/>
        <v>4</v>
      </c>
      <c r="AM22" s="49">
        <f t="shared" si="7"/>
      </c>
      <c r="AN22" s="50">
        <f t="shared" si="8"/>
      </c>
      <c r="AO22" s="6">
        <f t="shared" si="26"/>
        <v>0</v>
      </c>
      <c r="AP22" s="51">
        <f t="shared" si="9"/>
      </c>
      <c r="AQ22" s="52">
        <f t="shared" si="10"/>
      </c>
      <c r="AR22" s="6">
        <f t="shared" si="27"/>
        <v>0</v>
      </c>
      <c r="AS22" s="49">
        <f t="shared" si="11"/>
      </c>
      <c r="AT22" s="50">
        <f t="shared" si="12"/>
      </c>
      <c r="AU22" s="6">
        <f t="shared" si="28"/>
        <v>0</v>
      </c>
      <c r="AV22" s="51">
        <f t="shared" si="13"/>
      </c>
      <c r="AW22" s="52">
        <f t="shared" si="14"/>
      </c>
      <c r="AX22" s="6">
        <f t="shared" si="29"/>
        <v>0</v>
      </c>
      <c r="AY22" s="49">
        <f t="shared" si="15"/>
      </c>
      <c r="AZ22" s="50">
        <f t="shared" si="16"/>
      </c>
      <c r="BA22" s="6">
        <f t="shared" si="30"/>
        <v>0</v>
      </c>
      <c r="BB22" s="51">
        <f t="shared" si="17"/>
      </c>
      <c r="BC22" s="53">
        <f t="shared" si="18"/>
      </c>
      <c r="BE22" s="42">
        <f>IF(AF48&gt;7,VLOOKUP(8,AF4:AH48,2,FALSE),"")</f>
      </c>
      <c r="BF22" s="43">
        <f>IF(AF48&gt;7,VLOOKUP(8,AF4:AH48,3,FALSE),"")</f>
      </c>
      <c r="BG22" s="42">
        <f t="shared" si="36"/>
      </c>
      <c r="BH22" s="62">
        <f t="shared" si="37"/>
      </c>
      <c r="BI22" s="17"/>
      <c r="BJ22" s="42">
        <f>IF(AI48&gt;7,VLOOKUP(8,AI4:AK48,2,FALSE),"")</f>
      </c>
      <c r="BK22" s="43">
        <f>IF(AI48&gt;7,VLOOKUP(8,AI4:AK48,3,FALSE),"")</f>
      </c>
      <c r="BL22" s="42">
        <f t="shared" si="38"/>
      </c>
      <c r="BM22" s="62">
        <f t="shared" si="39"/>
      </c>
    </row>
    <row r="23" spans="1:65" ht="9.75" customHeight="1" thickBot="1">
      <c r="A23" s="3"/>
      <c r="B23" s="56"/>
      <c r="C23" s="21"/>
      <c r="D23" s="21"/>
      <c r="E23" s="21"/>
      <c r="F23" s="21"/>
      <c r="G23" s="21"/>
      <c r="H23" s="21"/>
      <c r="I23" s="56"/>
      <c r="J23" s="44">
        <v>3</v>
      </c>
      <c r="K23" s="45">
        <v>6</v>
      </c>
      <c r="L23" s="44">
        <v>5</v>
      </c>
      <c r="M23" s="45">
        <v>8</v>
      </c>
      <c r="N23" s="44">
        <v>2</v>
      </c>
      <c r="O23" s="45">
        <v>5</v>
      </c>
      <c r="P23" s="44">
        <v>3</v>
      </c>
      <c r="Q23" s="46">
        <v>10</v>
      </c>
      <c r="R23" s="47">
        <f>IF($AT$52&gt;2,HLOOKUP($AT$52,$B$3:$Q$48,21,FALSE),0)</f>
        <v>0</v>
      </c>
      <c r="S23" s="48">
        <f>IF($AT$52&gt;2,HLOOKUP($AT$57,$B$3:$Q$48,21,FALSE),0)</f>
        <v>0</v>
      </c>
      <c r="T23" s="525">
        <f t="shared" si="19"/>
      </c>
      <c r="U23" s="526"/>
      <c r="V23" s="527">
        <f t="shared" si="20"/>
      </c>
      <c r="W23" s="527"/>
      <c r="X23" s="34">
        <f>IF(ISNUMBER(Y23),'Lizenz Nr.- Eingabe'!AG37,"")</f>
      </c>
      <c r="Y23" s="35">
        <f>IF(OR('Lizenz Nr.- Eingabe'!AJ37="x",ISNUMBER('Lizenz Nr.- Eingabe'!AJ37)),'Lizenz Nr.- Eingabe'!AJ37,"")</f>
      </c>
      <c r="Z23" s="6">
        <f t="shared" si="21"/>
        <v>4</v>
      </c>
      <c r="AA23" s="49">
        <f t="shared" si="22"/>
      </c>
      <c r="AB23" s="50">
        <f t="shared" si="0"/>
      </c>
      <c r="AC23" s="6">
        <f t="shared" si="35"/>
        <v>4</v>
      </c>
      <c r="AD23" s="51">
        <f t="shared" si="1"/>
      </c>
      <c r="AE23" s="52">
        <f t="shared" si="2"/>
      </c>
      <c r="AF23" s="6">
        <f t="shared" si="23"/>
        <v>4</v>
      </c>
      <c r="AG23" s="49">
        <f t="shared" si="3"/>
      </c>
      <c r="AH23" s="50">
        <f t="shared" si="4"/>
      </c>
      <c r="AI23" s="6">
        <f t="shared" si="24"/>
        <v>4</v>
      </c>
      <c r="AJ23" s="51">
        <f t="shared" si="5"/>
      </c>
      <c r="AK23" s="52">
        <f t="shared" si="6"/>
      </c>
      <c r="AL23" s="6">
        <f t="shared" si="25"/>
        <v>4</v>
      </c>
      <c r="AM23" s="49">
        <f t="shared" si="7"/>
      </c>
      <c r="AN23" s="50">
        <f t="shared" si="8"/>
      </c>
      <c r="AO23" s="6">
        <f t="shared" si="26"/>
        <v>0</v>
      </c>
      <c r="AP23" s="51">
        <f t="shared" si="9"/>
      </c>
      <c r="AQ23" s="52">
        <f t="shared" si="10"/>
      </c>
      <c r="AR23" s="6">
        <f t="shared" si="27"/>
        <v>0</v>
      </c>
      <c r="AS23" s="49">
        <f t="shared" si="11"/>
      </c>
      <c r="AT23" s="50">
        <f t="shared" si="12"/>
      </c>
      <c r="AU23" s="6">
        <f t="shared" si="28"/>
        <v>0</v>
      </c>
      <c r="AV23" s="51">
        <f t="shared" si="13"/>
      </c>
      <c r="AW23" s="52">
        <f t="shared" si="14"/>
      </c>
      <c r="AX23" s="6">
        <f t="shared" si="29"/>
        <v>0</v>
      </c>
      <c r="AY23" s="49">
        <f t="shared" si="15"/>
      </c>
      <c r="AZ23" s="50">
        <f t="shared" si="16"/>
      </c>
      <c r="BA23" s="6">
        <f t="shared" si="30"/>
        <v>0</v>
      </c>
      <c r="BB23" s="51">
        <f t="shared" si="17"/>
      </c>
      <c r="BC23" s="53">
        <f t="shared" si="18"/>
      </c>
      <c r="BE23" s="57">
        <f>IF(AF48&gt;8,VLOOKUP(9,AF4:AH48,2,FALSE),"")</f>
      </c>
      <c r="BF23" s="58">
        <f>IF(AF48&gt;8,VLOOKUP(9,AF4:AH48,3,FALSE),"")</f>
      </c>
      <c r="BG23" s="42">
        <f t="shared" si="36"/>
      </c>
      <c r="BH23" s="62">
        <f>IF(ISNUMBER(BF23),IF(BE23=BF23,1,IF(BE23&lt;BF23,$BB$52,0)),"")</f>
      </c>
      <c r="BI23" s="17"/>
      <c r="BJ23" s="57">
        <f>IF(AI48&gt;8,VLOOKUP(9,AI4:AK48,2,FALSE),"")</f>
      </c>
      <c r="BK23" s="58">
        <f>IF(AI48&gt;8,VLOOKUP(9,AI4:AK48,3,FALSE),"")</f>
      </c>
      <c r="BL23" s="42">
        <f t="shared" si="38"/>
      </c>
      <c r="BM23" s="62">
        <f t="shared" si="39"/>
      </c>
    </row>
    <row r="24" spans="1:65" ht="9.75" customHeight="1" thickBot="1">
      <c r="A24" s="3"/>
      <c r="B24" s="56"/>
      <c r="C24" s="56"/>
      <c r="D24" s="56"/>
      <c r="E24" s="56"/>
      <c r="F24" s="56"/>
      <c r="G24" s="56"/>
      <c r="H24" s="56"/>
      <c r="I24" s="56"/>
      <c r="J24" s="54">
        <v>1</v>
      </c>
      <c r="K24" s="55">
        <v>2</v>
      </c>
      <c r="L24" s="44">
        <v>4</v>
      </c>
      <c r="M24" s="45">
        <v>6</v>
      </c>
      <c r="N24" s="44">
        <v>1</v>
      </c>
      <c r="O24" s="45">
        <v>4</v>
      </c>
      <c r="P24" s="44">
        <v>6</v>
      </c>
      <c r="Q24" s="45">
        <v>9</v>
      </c>
      <c r="R24" s="47">
        <f>IF($AT$52&gt;2,HLOOKUP($AT$52,$B$3:$Q$48,22,FALSE),0)</f>
        <v>0</v>
      </c>
      <c r="S24" s="48">
        <f>IF($AT$52&gt;2,HLOOKUP($AT$57,$B$3:$Q$48,22,FALSE),0)</f>
        <v>0</v>
      </c>
      <c r="T24" s="525">
        <f t="shared" si="19"/>
      </c>
      <c r="U24" s="526"/>
      <c r="V24" s="527">
        <f t="shared" si="20"/>
      </c>
      <c r="W24" s="527"/>
      <c r="X24" s="34">
        <f>IF(ISNUMBER(Y24),'Lizenz Nr.- Eingabe'!AG38,"")</f>
      </c>
      <c r="Y24" s="35">
        <f>IF(OR('Lizenz Nr.- Eingabe'!AJ38="x",ISNUMBER('Lizenz Nr.- Eingabe'!AJ38)),'Lizenz Nr.- Eingabe'!AJ38,"")</f>
      </c>
      <c r="Z24" s="6">
        <f t="shared" si="21"/>
        <v>4</v>
      </c>
      <c r="AA24" s="49">
        <f t="shared" si="22"/>
      </c>
      <c r="AB24" s="50">
        <f t="shared" si="0"/>
      </c>
      <c r="AC24" s="6">
        <f t="shared" si="35"/>
        <v>4</v>
      </c>
      <c r="AD24" s="51">
        <f t="shared" si="1"/>
      </c>
      <c r="AE24" s="52">
        <f t="shared" si="2"/>
      </c>
      <c r="AF24" s="6">
        <f t="shared" si="23"/>
        <v>4</v>
      </c>
      <c r="AG24" s="49">
        <f t="shared" si="3"/>
      </c>
      <c r="AH24" s="50">
        <f t="shared" si="4"/>
      </c>
      <c r="AI24" s="6">
        <f t="shared" si="24"/>
        <v>4</v>
      </c>
      <c r="AJ24" s="51">
        <f t="shared" si="5"/>
      </c>
      <c r="AK24" s="52">
        <f t="shared" si="6"/>
      </c>
      <c r="AL24" s="6">
        <f t="shared" si="25"/>
        <v>4</v>
      </c>
      <c r="AM24" s="49">
        <f t="shared" si="7"/>
      </c>
      <c r="AN24" s="50">
        <f t="shared" si="8"/>
      </c>
      <c r="AO24" s="6">
        <f t="shared" si="26"/>
        <v>0</v>
      </c>
      <c r="AP24" s="51">
        <f t="shared" si="9"/>
      </c>
      <c r="AQ24" s="52">
        <f t="shared" si="10"/>
      </c>
      <c r="AR24" s="6">
        <f t="shared" si="27"/>
        <v>0</v>
      </c>
      <c r="AS24" s="49">
        <f t="shared" si="11"/>
      </c>
      <c r="AT24" s="50">
        <f t="shared" si="12"/>
      </c>
      <c r="AU24" s="6">
        <f t="shared" si="28"/>
        <v>0</v>
      </c>
      <c r="AV24" s="51">
        <f t="shared" si="13"/>
      </c>
      <c r="AW24" s="52">
        <f t="shared" si="14"/>
      </c>
      <c r="AX24" s="6">
        <f t="shared" si="29"/>
        <v>0</v>
      </c>
      <c r="AY24" s="49">
        <f t="shared" si="15"/>
      </c>
      <c r="AZ24" s="50">
        <f t="shared" si="16"/>
      </c>
      <c r="BA24" s="6">
        <f t="shared" si="30"/>
        <v>0</v>
      </c>
      <c r="BB24" s="51">
        <f t="shared" si="17"/>
      </c>
      <c r="BC24" s="53">
        <f t="shared" si="18"/>
      </c>
      <c r="BE24" s="18">
        <f>IF(ISNUMBER(BE15),SUM(BE15:BE23),"")</f>
        <v>3</v>
      </c>
      <c r="BF24" s="19">
        <f>IF(ISNUMBER(BF15),SUM(BF15:BF23),"")</f>
        <v>9</v>
      </c>
      <c r="BG24" s="18">
        <f>IF(ISNUMBER(BG15),SUM(BG15:BG23),"")</f>
        <v>3</v>
      </c>
      <c r="BH24" s="20">
        <f>IF(ISNUMBER(BH15),SUM(BH15:BH23),"")</f>
        <v>9</v>
      </c>
      <c r="BI24" s="21"/>
      <c r="BJ24" s="18">
        <f>IF(ISNUMBER(BJ15),SUM(BJ15:BJ23),"")</f>
        <v>0</v>
      </c>
      <c r="BK24" s="19">
        <f>IF(ISNUMBER(BK15),SUM(BK15:BK23),"")</f>
        <v>26</v>
      </c>
      <c r="BL24" s="18">
        <f>IF(ISNUMBER(BL15),SUM(BL15:BL23),"")</f>
        <v>0</v>
      </c>
      <c r="BM24" s="20">
        <f>IF(ISNUMBER(BM15),SUM(BM15:BM23),"")</f>
        <v>12</v>
      </c>
    </row>
    <row r="25" spans="1:65" ht="9.75" customHeight="1" thickBo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4">
        <v>5</v>
      </c>
      <c r="M25" s="45">
        <v>7</v>
      </c>
      <c r="N25" s="44">
        <v>6</v>
      </c>
      <c r="O25" s="45">
        <v>7</v>
      </c>
      <c r="P25" s="44">
        <v>5</v>
      </c>
      <c r="Q25" s="45">
        <v>7</v>
      </c>
      <c r="R25" s="47">
        <f>IF($AT$52&gt;2,HLOOKUP($AT$52,$B$3:$Q$48,23,FALSE),0)</f>
        <v>0</v>
      </c>
      <c r="S25" s="48">
        <f>IF($AT$52&gt;2,HLOOKUP($AT$57,$B$3:$Q$48,23,FALSE),0)</f>
        <v>0</v>
      </c>
      <c r="T25" s="525">
        <f t="shared" si="19"/>
      </c>
      <c r="U25" s="526"/>
      <c r="V25" s="527">
        <f t="shared" si="20"/>
      </c>
      <c r="W25" s="527"/>
      <c r="X25" s="34">
        <f>IF(ISNUMBER(Y25),'Lizenz Nr.- Eingabe'!AG39,"")</f>
      </c>
      <c r="Y25" s="35">
        <f>IF(OR('Lizenz Nr.- Eingabe'!AJ39="x",ISNUMBER('Lizenz Nr.- Eingabe'!AJ39)),'Lizenz Nr.- Eingabe'!AJ39,"")</f>
      </c>
      <c r="Z25" s="6">
        <f t="shared" si="21"/>
        <v>4</v>
      </c>
      <c r="AA25" s="49">
        <f t="shared" si="22"/>
      </c>
      <c r="AB25" s="50">
        <f t="shared" si="0"/>
      </c>
      <c r="AC25" s="6">
        <f t="shared" si="35"/>
        <v>4</v>
      </c>
      <c r="AD25" s="51">
        <f t="shared" si="1"/>
      </c>
      <c r="AE25" s="52">
        <f t="shared" si="2"/>
      </c>
      <c r="AF25" s="6">
        <f t="shared" si="23"/>
        <v>4</v>
      </c>
      <c r="AG25" s="49">
        <f t="shared" si="3"/>
      </c>
      <c r="AH25" s="50">
        <f t="shared" si="4"/>
      </c>
      <c r="AI25" s="6">
        <f t="shared" si="24"/>
        <v>4</v>
      </c>
      <c r="AJ25" s="51">
        <f t="shared" si="5"/>
      </c>
      <c r="AK25" s="52">
        <f t="shared" si="6"/>
      </c>
      <c r="AL25" s="6">
        <f t="shared" si="25"/>
        <v>4</v>
      </c>
      <c r="AM25" s="49">
        <f t="shared" si="7"/>
      </c>
      <c r="AN25" s="50">
        <f t="shared" si="8"/>
      </c>
      <c r="AO25" s="6">
        <f t="shared" si="26"/>
        <v>0</v>
      </c>
      <c r="AP25" s="51">
        <f t="shared" si="9"/>
      </c>
      <c r="AQ25" s="52">
        <f t="shared" si="10"/>
      </c>
      <c r="AR25" s="6">
        <f t="shared" si="27"/>
        <v>0</v>
      </c>
      <c r="AS25" s="49">
        <f t="shared" si="11"/>
      </c>
      <c r="AT25" s="50">
        <f t="shared" si="12"/>
      </c>
      <c r="AU25" s="6">
        <f t="shared" si="28"/>
        <v>0</v>
      </c>
      <c r="AV25" s="51">
        <f t="shared" si="13"/>
      </c>
      <c r="AW25" s="52">
        <f t="shared" si="14"/>
      </c>
      <c r="AX25" s="6">
        <f t="shared" si="29"/>
        <v>0</v>
      </c>
      <c r="AY25" s="49">
        <f t="shared" si="15"/>
      </c>
      <c r="AZ25" s="50">
        <f t="shared" si="16"/>
      </c>
      <c r="BA25" s="6">
        <f t="shared" si="30"/>
        <v>0</v>
      </c>
      <c r="BB25" s="51">
        <f t="shared" si="17"/>
      </c>
      <c r="BC25" s="53">
        <f t="shared" si="18"/>
      </c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9.75" customHeight="1" thickBot="1">
      <c r="A26" s="3"/>
      <c r="B26" s="56"/>
      <c r="C26" s="56"/>
      <c r="D26" s="60"/>
      <c r="E26" s="60"/>
      <c r="F26" s="60"/>
      <c r="G26" s="60"/>
      <c r="H26" s="60"/>
      <c r="I26" s="60"/>
      <c r="J26" s="56"/>
      <c r="K26" s="56"/>
      <c r="L26" s="44">
        <v>2</v>
      </c>
      <c r="M26" s="45">
        <v>8</v>
      </c>
      <c r="N26" s="44">
        <v>2</v>
      </c>
      <c r="O26" s="45">
        <v>3</v>
      </c>
      <c r="P26" s="44">
        <v>8</v>
      </c>
      <c r="Q26" s="46">
        <v>10</v>
      </c>
      <c r="R26" s="47">
        <f>IF($AT$52&gt;2,HLOOKUP($AT$52,$B$3:$Q$48,24,FALSE),0)</f>
        <v>0</v>
      </c>
      <c r="S26" s="48">
        <f>IF($AT$52&gt;2,HLOOKUP($AT$57,$B$3:$Q$48,24,FALSE),0)</f>
        <v>0</v>
      </c>
      <c r="T26" s="525">
        <f t="shared" si="19"/>
      </c>
      <c r="U26" s="526"/>
      <c r="V26" s="527">
        <f t="shared" si="20"/>
      </c>
      <c r="W26" s="527"/>
      <c r="X26" s="34">
        <f>IF(ISNUMBER(Y26),'Lizenz Nr.- Eingabe'!AG40,"")</f>
      </c>
      <c r="Y26" s="35">
        <f>IF(OR('Lizenz Nr.- Eingabe'!AJ40="x",ISNUMBER('Lizenz Nr.- Eingabe'!AJ40)),'Lizenz Nr.- Eingabe'!AJ40,"")</f>
      </c>
      <c r="Z26" s="6">
        <f t="shared" si="21"/>
        <v>4</v>
      </c>
      <c r="AA26" s="49">
        <f t="shared" si="22"/>
      </c>
      <c r="AB26" s="50">
        <f t="shared" si="0"/>
      </c>
      <c r="AC26" s="6">
        <f>IF(ISNUMBER(AE26),AC25+1,AC25)</f>
        <v>4</v>
      </c>
      <c r="AD26" s="51">
        <f t="shared" si="1"/>
      </c>
      <c r="AE26" s="52">
        <f t="shared" si="2"/>
      </c>
      <c r="AF26" s="6">
        <f t="shared" si="23"/>
        <v>4</v>
      </c>
      <c r="AG26" s="49">
        <f t="shared" si="3"/>
      </c>
      <c r="AH26" s="50">
        <f t="shared" si="4"/>
      </c>
      <c r="AI26" s="6">
        <f t="shared" si="24"/>
        <v>4</v>
      </c>
      <c r="AJ26" s="51">
        <f t="shared" si="5"/>
      </c>
      <c r="AK26" s="52">
        <f t="shared" si="6"/>
      </c>
      <c r="AL26" s="6">
        <f t="shared" si="25"/>
        <v>4</v>
      </c>
      <c r="AM26" s="49">
        <f t="shared" si="7"/>
      </c>
      <c r="AN26" s="50">
        <f t="shared" si="8"/>
      </c>
      <c r="AO26" s="6">
        <f t="shared" si="26"/>
        <v>0</v>
      </c>
      <c r="AP26" s="51">
        <f t="shared" si="9"/>
      </c>
      <c r="AQ26" s="52">
        <f t="shared" si="10"/>
      </c>
      <c r="AR26" s="6">
        <f t="shared" si="27"/>
        <v>0</v>
      </c>
      <c r="AS26" s="49">
        <f t="shared" si="11"/>
      </c>
      <c r="AT26" s="50">
        <f t="shared" si="12"/>
      </c>
      <c r="AU26" s="6">
        <f t="shared" si="28"/>
        <v>0</v>
      </c>
      <c r="AV26" s="51">
        <f t="shared" si="13"/>
      </c>
      <c r="AW26" s="52">
        <f t="shared" si="14"/>
      </c>
      <c r="AX26" s="6">
        <f t="shared" si="29"/>
        <v>0</v>
      </c>
      <c r="AY26" s="49">
        <f t="shared" si="15"/>
      </c>
      <c r="AZ26" s="50">
        <f t="shared" si="16"/>
      </c>
      <c r="BA26" s="6">
        <f t="shared" si="30"/>
        <v>0</v>
      </c>
      <c r="BB26" s="51">
        <f t="shared" si="17"/>
      </c>
      <c r="BC26" s="53">
        <f t="shared" si="18"/>
      </c>
      <c r="BE26" s="498" t="str">
        <f>C56</f>
        <v>RVS Obernfeld II</v>
      </c>
      <c r="BF26" s="499"/>
      <c r="BG26" s="499"/>
      <c r="BH26" s="500"/>
      <c r="BI26" s="17"/>
      <c r="BJ26" s="498">
        <f>C57</f>
      </c>
      <c r="BK26" s="499"/>
      <c r="BL26" s="499"/>
      <c r="BM26" s="500"/>
    </row>
    <row r="27" spans="1:65" ht="9.75" customHeight="1">
      <c r="A27" s="3"/>
      <c r="B27" s="56"/>
      <c r="C27" s="21"/>
      <c r="D27" s="21"/>
      <c r="E27" s="21"/>
      <c r="F27" s="21"/>
      <c r="G27" s="21"/>
      <c r="H27" s="21"/>
      <c r="I27" s="21"/>
      <c r="J27" s="21"/>
      <c r="K27" s="56"/>
      <c r="L27" s="44">
        <v>1</v>
      </c>
      <c r="M27" s="45">
        <v>3</v>
      </c>
      <c r="N27" s="44">
        <v>4</v>
      </c>
      <c r="O27" s="45">
        <v>5</v>
      </c>
      <c r="P27" s="44">
        <v>2</v>
      </c>
      <c r="Q27" s="45">
        <v>3</v>
      </c>
      <c r="R27" s="47">
        <f>IF($AT$52&gt;2,HLOOKUP($AT$52,$B$3:$Q$48,25,FALSE),0)</f>
        <v>0</v>
      </c>
      <c r="S27" s="48">
        <f>IF($AT$52&gt;2,HLOOKUP($AT$57,$B$3:$Q$48,25,FALSE),0)</f>
        <v>0</v>
      </c>
      <c r="T27" s="525">
        <f t="shared" si="19"/>
      </c>
      <c r="U27" s="526"/>
      <c r="V27" s="527">
        <f t="shared" si="20"/>
      </c>
      <c r="W27" s="527"/>
      <c r="X27" s="34">
        <f>IF(ISNUMBER(Y27),'Lizenz Nr.- Eingabe'!AG41,"")</f>
      </c>
      <c r="Y27" s="35">
        <f>IF(OR('Lizenz Nr.- Eingabe'!AJ41="x",ISNUMBER('Lizenz Nr.- Eingabe'!AJ41)),'Lizenz Nr.- Eingabe'!AJ41,"")</f>
      </c>
      <c r="Z27" s="6">
        <f t="shared" si="21"/>
        <v>4</v>
      </c>
      <c r="AA27" s="49">
        <f t="shared" si="22"/>
      </c>
      <c r="AB27" s="50">
        <f t="shared" si="0"/>
      </c>
      <c r="AC27" s="6">
        <f t="shared" si="35"/>
        <v>4</v>
      </c>
      <c r="AD27" s="51">
        <f t="shared" si="1"/>
      </c>
      <c r="AE27" s="52">
        <f t="shared" si="2"/>
      </c>
      <c r="AF27" s="6">
        <f t="shared" si="23"/>
        <v>4</v>
      </c>
      <c r="AG27" s="49">
        <f t="shared" si="3"/>
      </c>
      <c r="AH27" s="50">
        <f t="shared" si="4"/>
      </c>
      <c r="AI27" s="6">
        <f t="shared" si="24"/>
        <v>4</v>
      </c>
      <c r="AJ27" s="51">
        <f t="shared" si="5"/>
      </c>
      <c r="AK27" s="52">
        <f t="shared" si="6"/>
      </c>
      <c r="AL27" s="6">
        <f t="shared" si="25"/>
        <v>4</v>
      </c>
      <c r="AM27" s="49">
        <f t="shared" si="7"/>
      </c>
      <c r="AN27" s="50">
        <f t="shared" si="8"/>
      </c>
      <c r="AO27" s="6">
        <f t="shared" si="26"/>
        <v>0</v>
      </c>
      <c r="AP27" s="51">
        <f t="shared" si="9"/>
      </c>
      <c r="AQ27" s="52">
        <f t="shared" si="10"/>
      </c>
      <c r="AR27" s="6">
        <f t="shared" si="27"/>
        <v>0</v>
      </c>
      <c r="AS27" s="49">
        <f t="shared" si="11"/>
      </c>
      <c r="AT27" s="50">
        <f t="shared" si="12"/>
      </c>
      <c r="AU27" s="6">
        <f t="shared" si="28"/>
        <v>0</v>
      </c>
      <c r="AV27" s="51">
        <f t="shared" si="13"/>
      </c>
      <c r="AW27" s="52">
        <f t="shared" si="14"/>
      </c>
      <c r="AX27" s="6">
        <f t="shared" si="29"/>
        <v>0</v>
      </c>
      <c r="AY27" s="49">
        <f t="shared" si="15"/>
      </c>
      <c r="AZ27" s="50">
        <f t="shared" si="16"/>
      </c>
      <c r="BA27" s="6">
        <f t="shared" si="30"/>
        <v>0</v>
      </c>
      <c r="BB27" s="51">
        <f t="shared" si="17"/>
      </c>
      <c r="BC27" s="53">
        <f t="shared" si="18"/>
      </c>
      <c r="BE27" s="27">
        <f>IF(AL48&gt;0,VLOOKUP(1,AL4:AN48,2,FALSE),"")</f>
        <v>1</v>
      </c>
      <c r="BF27" s="28">
        <f>IF(AL48&gt;0,VLOOKUP(1,AL4:AN48,3,FALSE),"")</f>
        <v>6</v>
      </c>
      <c r="BG27" s="27">
        <f>IF(ISNUMBER(BF27),IF(BE27=BF27,1,IF(BE27&gt;BF27,$BB$52,0)),"")</f>
        <v>0</v>
      </c>
      <c r="BH27" s="89">
        <f>IF(ISNUMBER(BF27),IF(BE27=BF27,1,IF(BE27&lt;BF27,$BB$52,0)),"")</f>
        <v>3</v>
      </c>
      <c r="BI27" s="17"/>
      <c r="BJ27" s="27">
        <f>IF(AO48,VLOOKUP(1,AO4:AQ48,2,FALSE),"")</f>
      </c>
      <c r="BK27" s="28">
        <f>IF(AO48,VLOOKUP(1,AO4:AQ48,3,FALSE),"")</f>
      </c>
      <c r="BL27" s="27">
        <f>IF(ISNUMBER(BK27),IF(BJ27=BK27,1,IF(BJ27&gt;BK27,$BB$52,0)),"")</f>
      </c>
      <c r="BM27" s="89">
        <f>IF(ISNUMBER(BK27),IF(BJ27=BK27,1,IF(BJ27&lt;BK27,$BB$52,0)),"")</f>
      </c>
    </row>
    <row r="28" spans="1:65" ht="9.75" customHeight="1">
      <c r="A28" s="3"/>
      <c r="B28" s="56"/>
      <c r="C28" s="56"/>
      <c r="D28" s="21"/>
      <c r="E28" s="21"/>
      <c r="F28" s="21"/>
      <c r="G28" s="21"/>
      <c r="H28" s="21"/>
      <c r="I28" s="21"/>
      <c r="J28" s="56"/>
      <c r="K28" s="56"/>
      <c r="L28" s="44">
        <v>7</v>
      </c>
      <c r="M28" s="45">
        <v>8</v>
      </c>
      <c r="N28" s="44">
        <v>7</v>
      </c>
      <c r="O28" s="45">
        <v>9</v>
      </c>
      <c r="P28" s="44">
        <v>1</v>
      </c>
      <c r="Q28" s="45">
        <v>4</v>
      </c>
      <c r="R28" s="47">
        <f>IF($AT$52&gt;2,HLOOKUP($AT$52,$B$3:$Q$48,26,FALSE),0)</f>
        <v>0</v>
      </c>
      <c r="S28" s="48">
        <f>IF($AT$52&gt;2,HLOOKUP($AT$57,$B$3:$Q$48,26,FALSE),0)</f>
        <v>0</v>
      </c>
      <c r="T28" s="525">
        <f t="shared" si="19"/>
      </c>
      <c r="U28" s="526"/>
      <c r="V28" s="527">
        <f t="shared" si="20"/>
      </c>
      <c r="W28" s="527"/>
      <c r="X28" s="34">
        <f>IF(ISNUMBER(Y28),'Lizenz Nr.- Eingabe'!AG42,"")</f>
      </c>
      <c r="Y28" s="35">
        <f>IF(OR('Lizenz Nr.- Eingabe'!AJ42="x",ISNUMBER('Lizenz Nr.- Eingabe'!AJ42)),'Lizenz Nr.- Eingabe'!AJ42,"")</f>
      </c>
      <c r="Z28" s="6">
        <f t="shared" si="21"/>
        <v>4</v>
      </c>
      <c r="AA28" s="49">
        <f t="shared" si="22"/>
      </c>
      <c r="AB28" s="50">
        <f t="shared" si="0"/>
      </c>
      <c r="AC28" s="6">
        <f t="shared" si="35"/>
        <v>4</v>
      </c>
      <c r="AD28" s="51">
        <f t="shared" si="1"/>
      </c>
      <c r="AE28" s="52">
        <f t="shared" si="2"/>
      </c>
      <c r="AF28" s="6">
        <f t="shared" si="23"/>
        <v>4</v>
      </c>
      <c r="AG28" s="49">
        <f t="shared" si="3"/>
      </c>
      <c r="AH28" s="50">
        <f t="shared" si="4"/>
      </c>
      <c r="AI28" s="6">
        <f t="shared" si="24"/>
        <v>4</v>
      </c>
      <c r="AJ28" s="51">
        <f t="shared" si="5"/>
      </c>
      <c r="AK28" s="52">
        <f t="shared" si="6"/>
      </c>
      <c r="AL28" s="6">
        <f t="shared" si="25"/>
        <v>4</v>
      </c>
      <c r="AM28" s="49">
        <f t="shared" si="7"/>
      </c>
      <c r="AN28" s="50">
        <f t="shared" si="8"/>
      </c>
      <c r="AO28" s="6">
        <f t="shared" si="26"/>
        <v>0</v>
      </c>
      <c r="AP28" s="51">
        <f t="shared" si="9"/>
      </c>
      <c r="AQ28" s="52">
        <f t="shared" si="10"/>
      </c>
      <c r="AR28" s="6">
        <f t="shared" si="27"/>
        <v>0</v>
      </c>
      <c r="AS28" s="49">
        <f t="shared" si="11"/>
      </c>
      <c r="AT28" s="50">
        <f t="shared" si="12"/>
      </c>
      <c r="AU28" s="6">
        <f t="shared" si="28"/>
        <v>0</v>
      </c>
      <c r="AV28" s="51">
        <f t="shared" si="13"/>
      </c>
      <c r="AW28" s="52">
        <f t="shared" si="14"/>
      </c>
      <c r="AX28" s="6">
        <f t="shared" si="29"/>
        <v>0</v>
      </c>
      <c r="AY28" s="49">
        <f t="shared" si="15"/>
      </c>
      <c r="AZ28" s="50">
        <f t="shared" si="16"/>
      </c>
      <c r="BA28" s="6">
        <f t="shared" si="30"/>
        <v>0</v>
      </c>
      <c r="BB28" s="51">
        <f t="shared" si="17"/>
      </c>
      <c r="BC28" s="53">
        <f t="shared" si="18"/>
      </c>
      <c r="BE28" s="42">
        <f>IF(AL48&gt;1,VLOOKUP(2,AL4:AN48,2,FALSE),"")</f>
        <v>6</v>
      </c>
      <c r="BF28" s="43">
        <f>IF(AL48&gt;1,VLOOKUP(2,AL4:AN48,3,FALSE),"")</f>
        <v>0</v>
      </c>
      <c r="BG28" s="42">
        <f>IF(ISNUMBER(BF28),IF(BE28=BF28,1,IF(BE28&gt;BF28,$BB$52,0)),"")</f>
        <v>3</v>
      </c>
      <c r="BH28" s="62">
        <f>IF(ISNUMBER(BF28),IF(BE28=BF28,1,IF(BE28&lt;BF28,$BB$52,0)),"")</f>
        <v>0</v>
      </c>
      <c r="BI28" s="17"/>
      <c r="BJ28" s="42">
        <f>IF(AO48&gt;1,VLOOKUP(2,AO4:AQ48,2,FALSE),"")</f>
      </c>
      <c r="BK28" s="43">
        <f>IF(AO48&gt;1,VLOOKUP(2,AO4:AQ48,3,FALSE),"")</f>
      </c>
      <c r="BL28" s="42">
        <f>IF(ISNUMBER(BK28),IF(BJ28=BK28,1,IF(BJ28&gt;BK28,$BB$52,0)),"")</f>
      </c>
      <c r="BM28" s="62">
        <f>IF(ISNUMBER(BK28),IF(BJ28=BK28,1,IF(BJ28&lt;BK28,$BB$52,0)),"")</f>
      </c>
    </row>
    <row r="29" spans="1:65" ht="9.75" customHeight="1">
      <c r="A29" s="3"/>
      <c r="B29" s="56"/>
      <c r="C29" s="56"/>
      <c r="D29" s="21"/>
      <c r="E29" s="21"/>
      <c r="F29" s="21"/>
      <c r="G29" s="21"/>
      <c r="H29" s="21"/>
      <c r="I29" s="21"/>
      <c r="J29" s="56"/>
      <c r="K29" s="56"/>
      <c r="L29" s="44">
        <v>5</v>
      </c>
      <c r="M29" s="45">
        <v>6</v>
      </c>
      <c r="N29" s="44">
        <v>1</v>
      </c>
      <c r="O29" s="45">
        <v>8</v>
      </c>
      <c r="P29" s="44">
        <v>5</v>
      </c>
      <c r="Q29" s="46">
        <v>10</v>
      </c>
      <c r="R29" s="47">
        <f>IF($AT$52&gt;2,HLOOKUP($AT$52,$B$3:$Q$48,27,FALSE),0)</f>
        <v>0</v>
      </c>
      <c r="S29" s="48">
        <f>IF($AT$52&gt;2,HLOOKUP($AT$57,$B$3:$Q$48,27,FALSE),0)</f>
        <v>0</v>
      </c>
      <c r="T29" s="525">
        <f t="shared" si="19"/>
      </c>
      <c r="U29" s="526"/>
      <c r="V29" s="527">
        <f t="shared" si="20"/>
      </c>
      <c r="W29" s="527"/>
      <c r="X29" s="34">
        <f>IF(ISNUMBER(Y29),'Lizenz Nr.- Eingabe'!AG43,"")</f>
      </c>
      <c r="Y29" s="35">
        <f>IF(OR('Lizenz Nr.- Eingabe'!AJ43="x",ISNUMBER('Lizenz Nr.- Eingabe'!AJ43)),'Lizenz Nr.- Eingabe'!AJ43,"")</f>
      </c>
      <c r="Z29" s="6">
        <f t="shared" si="21"/>
        <v>4</v>
      </c>
      <c r="AA29" s="49">
        <f t="shared" si="22"/>
      </c>
      <c r="AB29" s="50">
        <f t="shared" si="0"/>
      </c>
      <c r="AC29" s="6">
        <f t="shared" si="35"/>
        <v>4</v>
      </c>
      <c r="AD29" s="51">
        <f t="shared" si="1"/>
      </c>
      <c r="AE29" s="52">
        <f t="shared" si="2"/>
      </c>
      <c r="AF29" s="6">
        <f t="shared" si="23"/>
        <v>4</v>
      </c>
      <c r="AG29" s="49">
        <f t="shared" si="3"/>
      </c>
      <c r="AH29" s="50">
        <f t="shared" si="4"/>
      </c>
      <c r="AI29" s="6">
        <f t="shared" si="24"/>
        <v>4</v>
      </c>
      <c r="AJ29" s="51">
        <f t="shared" si="5"/>
      </c>
      <c r="AK29" s="52">
        <f t="shared" si="6"/>
      </c>
      <c r="AL29" s="6">
        <f t="shared" si="25"/>
        <v>4</v>
      </c>
      <c r="AM29" s="49">
        <f t="shared" si="7"/>
      </c>
      <c r="AN29" s="50">
        <f t="shared" si="8"/>
      </c>
      <c r="AO29" s="6">
        <f t="shared" si="26"/>
        <v>0</v>
      </c>
      <c r="AP29" s="51">
        <f t="shared" si="9"/>
      </c>
      <c r="AQ29" s="52">
        <f t="shared" si="10"/>
      </c>
      <c r="AR29" s="6">
        <f t="shared" si="27"/>
        <v>0</v>
      </c>
      <c r="AS29" s="49">
        <f t="shared" si="11"/>
      </c>
      <c r="AT29" s="50">
        <f t="shared" si="12"/>
      </c>
      <c r="AU29" s="6">
        <f t="shared" si="28"/>
        <v>0</v>
      </c>
      <c r="AV29" s="51">
        <f t="shared" si="13"/>
      </c>
      <c r="AW29" s="52">
        <f t="shared" si="14"/>
      </c>
      <c r="AX29" s="6">
        <f t="shared" si="29"/>
        <v>0</v>
      </c>
      <c r="AY29" s="49">
        <f t="shared" si="15"/>
      </c>
      <c r="AZ29" s="50">
        <f t="shared" si="16"/>
      </c>
      <c r="BA29" s="6">
        <f t="shared" si="30"/>
        <v>0</v>
      </c>
      <c r="BB29" s="51">
        <f t="shared" si="17"/>
      </c>
      <c r="BC29" s="53">
        <f t="shared" si="18"/>
      </c>
      <c r="BE29" s="42">
        <f>IF(AL48&gt;2,VLOOKUP(3,AL4:AN48,2,FALSE),"")</f>
        <v>3</v>
      </c>
      <c r="BF29" s="43">
        <f>IF(AL48&gt;2,VLOOKUP(3,AL4:AN48,3,FALSE),"")</f>
        <v>0</v>
      </c>
      <c r="BG29" s="42">
        <f aca="true" t="shared" si="40" ref="BG29:BG35">IF(ISNUMBER(BF29),IF(BE29=BF29,1,IF(BE29&gt;BF29,$BB$52,0)),"")</f>
        <v>3</v>
      </c>
      <c r="BH29" s="62">
        <f aca="true" t="shared" si="41" ref="BH29:BH35">IF(ISNUMBER(BF29),IF(BE29=BF29,1,IF(BE29&lt;BF29,$BB$52,0)),"")</f>
        <v>0</v>
      </c>
      <c r="BI29" s="17"/>
      <c r="BJ29" s="42">
        <f>IF(AO48&gt;2,VLOOKUP(3,AO4:AQ48,2,FALSE),"")</f>
      </c>
      <c r="BK29" s="43">
        <f>IF(AO48&gt;2,VLOOKUP(3,AO4:AQ48,3,FALSE),"")</f>
      </c>
      <c r="BL29" s="42">
        <f aca="true" t="shared" si="42" ref="BL29:BL35">IF(ISNUMBER(BK29),IF(BJ29=BK29,1,IF(BJ29&gt;BK29,$BB$52,0)),"")</f>
      </c>
      <c r="BM29" s="62">
        <f aca="true" t="shared" si="43" ref="BM29:BM35">IF(ISNUMBER(BK29),IF(BJ29=BK29,1,IF(BJ29&lt;BK29,$BB$52,0)),"")</f>
      </c>
    </row>
    <row r="30" spans="1:65" ht="9.75" customHeight="1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4">
        <v>3</v>
      </c>
      <c r="M30" s="45">
        <v>4</v>
      </c>
      <c r="N30" s="44">
        <v>3</v>
      </c>
      <c r="O30" s="45">
        <v>6</v>
      </c>
      <c r="P30" s="44">
        <v>7</v>
      </c>
      <c r="Q30" s="45">
        <v>9</v>
      </c>
      <c r="R30" s="47">
        <f>IF($AT$52&gt;2,HLOOKUP($AT$52,$B$3:$Q$48,28,FALSE),0)</f>
        <v>0</v>
      </c>
      <c r="S30" s="48">
        <f>IF($AT$52&gt;2,HLOOKUP($AT$57,$B$3:$Q$48,28,FALSE),0)</f>
        <v>0</v>
      </c>
      <c r="T30" s="525">
        <f t="shared" si="19"/>
      </c>
      <c r="U30" s="526"/>
      <c r="V30" s="527">
        <f t="shared" si="20"/>
      </c>
      <c r="W30" s="527"/>
      <c r="X30" s="34">
        <f>IF(ISNUMBER(Y30),'Lizenz Nr.- Eingabe'!AG44,"")</f>
      </c>
      <c r="Y30" s="35">
        <f>IF(OR('Lizenz Nr.- Eingabe'!AJ44="x",ISNUMBER('Lizenz Nr.- Eingabe'!AJ44)),'Lizenz Nr.- Eingabe'!AJ44,"")</f>
      </c>
      <c r="Z30" s="6">
        <f t="shared" si="21"/>
        <v>4</v>
      </c>
      <c r="AA30" s="49">
        <f t="shared" si="22"/>
      </c>
      <c r="AB30" s="50">
        <f t="shared" si="0"/>
      </c>
      <c r="AC30" s="6">
        <f t="shared" si="35"/>
        <v>4</v>
      </c>
      <c r="AD30" s="51">
        <f t="shared" si="1"/>
      </c>
      <c r="AE30" s="52">
        <f t="shared" si="2"/>
      </c>
      <c r="AF30" s="6">
        <f t="shared" si="23"/>
        <v>4</v>
      </c>
      <c r="AG30" s="49">
        <f t="shared" si="3"/>
      </c>
      <c r="AH30" s="50">
        <f t="shared" si="4"/>
      </c>
      <c r="AI30" s="6">
        <f t="shared" si="24"/>
        <v>4</v>
      </c>
      <c r="AJ30" s="51">
        <f t="shared" si="5"/>
      </c>
      <c r="AK30" s="52">
        <f t="shared" si="6"/>
      </c>
      <c r="AL30" s="6">
        <f t="shared" si="25"/>
        <v>4</v>
      </c>
      <c r="AM30" s="49">
        <f t="shared" si="7"/>
      </c>
      <c r="AN30" s="50">
        <f t="shared" si="8"/>
      </c>
      <c r="AO30" s="6">
        <f t="shared" si="26"/>
        <v>0</v>
      </c>
      <c r="AP30" s="51">
        <f t="shared" si="9"/>
      </c>
      <c r="AQ30" s="52">
        <f t="shared" si="10"/>
      </c>
      <c r="AR30" s="6">
        <f t="shared" si="27"/>
        <v>0</v>
      </c>
      <c r="AS30" s="49">
        <f t="shared" si="11"/>
      </c>
      <c r="AT30" s="50">
        <f t="shared" si="12"/>
      </c>
      <c r="AU30" s="6">
        <f t="shared" si="28"/>
        <v>0</v>
      </c>
      <c r="AV30" s="51">
        <f t="shared" si="13"/>
      </c>
      <c r="AW30" s="52">
        <f t="shared" si="14"/>
      </c>
      <c r="AX30" s="6">
        <f t="shared" si="29"/>
        <v>0</v>
      </c>
      <c r="AY30" s="49">
        <f t="shared" si="15"/>
      </c>
      <c r="AZ30" s="50">
        <f t="shared" si="16"/>
      </c>
      <c r="BA30" s="6">
        <f t="shared" si="30"/>
        <v>0</v>
      </c>
      <c r="BB30" s="51">
        <f t="shared" si="17"/>
      </c>
      <c r="BC30" s="53">
        <f t="shared" si="18"/>
      </c>
      <c r="BE30" s="42">
        <f>IF(AL48&gt;3,VLOOKUP(4,AL4:AN48,2,FALSE),"")</f>
        <v>0</v>
      </c>
      <c r="BF30" s="43">
        <f>IF(AL48&gt;3,VLOOKUP(4,AL4:AN48,3,FALSE),"")</f>
        <v>1</v>
      </c>
      <c r="BG30" s="42">
        <f t="shared" si="40"/>
        <v>0</v>
      </c>
      <c r="BH30" s="62">
        <f t="shared" si="41"/>
        <v>3</v>
      </c>
      <c r="BI30" s="17"/>
      <c r="BJ30" s="42">
        <f>IF(AO48&gt;3,VLOOKUP(4,AO4:AQ48,2,FALSE),"")</f>
      </c>
      <c r="BK30" s="43">
        <f>IF(AO48&gt;3,VLOOKUP(4,AO4:AQ48,3,FALSE),"")</f>
      </c>
      <c r="BL30" s="42">
        <f t="shared" si="42"/>
      </c>
      <c r="BM30" s="62">
        <f t="shared" si="43"/>
      </c>
    </row>
    <row r="31" spans="1:65" ht="9.75" customHeight="1" thickBot="1">
      <c r="A31" s="3"/>
      <c r="B31" s="56"/>
      <c r="C31" s="56"/>
      <c r="D31" s="56"/>
      <c r="E31" s="21"/>
      <c r="F31" s="21"/>
      <c r="G31" s="56"/>
      <c r="H31" s="56"/>
      <c r="I31" s="56"/>
      <c r="J31" s="56"/>
      <c r="K31" s="56"/>
      <c r="L31" s="61">
        <v>1</v>
      </c>
      <c r="M31" s="55">
        <v>2</v>
      </c>
      <c r="N31" s="44">
        <v>2</v>
      </c>
      <c r="O31" s="45">
        <v>9</v>
      </c>
      <c r="P31" s="44">
        <v>6</v>
      </c>
      <c r="Q31" s="45">
        <v>8</v>
      </c>
      <c r="R31" s="47">
        <f>IF($AT$52&gt;2,HLOOKUP($AT$52,$B$3:$Q$48,29,FALSE),0)</f>
        <v>0</v>
      </c>
      <c r="S31" s="48">
        <f>IF($AT$52&gt;2,HLOOKUP($AT$57,$B$3:$Q$48,29,FALSE),0)</f>
        <v>0</v>
      </c>
      <c r="T31" s="525">
        <f t="shared" si="19"/>
      </c>
      <c r="U31" s="526"/>
      <c r="V31" s="527">
        <f t="shared" si="20"/>
      </c>
      <c r="W31" s="527"/>
      <c r="X31" s="34">
        <f>IF(ISNUMBER(Y31),'Lizenz Nr.- Eingabe'!AG45,"")</f>
      </c>
      <c r="Y31" s="35">
        <f>IF(OR('Lizenz Nr.- Eingabe'!AJ45="x",ISNUMBER('Lizenz Nr.- Eingabe'!AJ45)),'Lizenz Nr.- Eingabe'!AJ45,"")</f>
      </c>
      <c r="Z31" s="6">
        <f t="shared" si="21"/>
        <v>4</v>
      </c>
      <c r="AA31" s="49">
        <f t="shared" si="22"/>
      </c>
      <c r="AB31" s="50">
        <f t="shared" si="0"/>
      </c>
      <c r="AC31" s="6">
        <f>IF(ISNUMBER(AE31),AC30+1,AC30)</f>
        <v>4</v>
      </c>
      <c r="AD31" s="51">
        <f t="shared" si="1"/>
      </c>
      <c r="AE31" s="52">
        <f t="shared" si="2"/>
      </c>
      <c r="AF31" s="6">
        <f t="shared" si="23"/>
        <v>4</v>
      </c>
      <c r="AG31" s="49">
        <f t="shared" si="3"/>
      </c>
      <c r="AH31" s="50">
        <f t="shared" si="4"/>
      </c>
      <c r="AI31" s="6">
        <f t="shared" si="24"/>
        <v>4</v>
      </c>
      <c r="AJ31" s="51">
        <f t="shared" si="5"/>
      </c>
      <c r="AK31" s="52">
        <f t="shared" si="6"/>
      </c>
      <c r="AL31" s="6">
        <f t="shared" si="25"/>
        <v>4</v>
      </c>
      <c r="AM31" s="49">
        <f t="shared" si="7"/>
      </c>
      <c r="AN31" s="50">
        <f t="shared" si="8"/>
      </c>
      <c r="AO31" s="6">
        <f t="shared" si="26"/>
        <v>0</v>
      </c>
      <c r="AP31" s="51">
        <f t="shared" si="9"/>
      </c>
      <c r="AQ31" s="52">
        <f t="shared" si="10"/>
      </c>
      <c r="AR31" s="6">
        <f t="shared" si="27"/>
        <v>0</v>
      </c>
      <c r="AS31" s="49">
        <f t="shared" si="11"/>
      </c>
      <c r="AT31" s="50">
        <f t="shared" si="12"/>
      </c>
      <c r="AU31" s="6">
        <f t="shared" si="28"/>
        <v>0</v>
      </c>
      <c r="AV31" s="51">
        <f t="shared" si="13"/>
      </c>
      <c r="AW31" s="52">
        <f t="shared" si="14"/>
      </c>
      <c r="AX31" s="6">
        <f t="shared" si="29"/>
        <v>0</v>
      </c>
      <c r="AY31" s="49">
        <f t="shared" si="15"/>
      </c>
      <c r="AZ31" s="50">
        <f t="shared" si="16"/>
      </c>
      <c r="BA31" s="6">
        <f t="shared" si="30"/>
        <v>0</v>
      </c>
      <c r="BB31" s="51">
        <f t="shared" si="17"/>
      </c>
      <c r="BC31" s="53">
        <f t="shared" si="18"/>
      </c>
      <c r="BE31" s="42">
        <f>IF(AL48&gt;4,VLOOKUP(5,AL4:AN48,2,FALSE),"")</f>
      </c>
      <c r="BF31" s="43">
        <f>IF(AL48&gt;4,VLOOKUP(5,AL4:AN48,3,FALSE),"")</f>
      </c>
      <c r="BG31" s="42">
        <f t="shared" si="40"/>
      </c>
      <c r="BH31" s="62">
        <f t="shared" si="41"/>
      </c>
      <c r="BI31" s="17"/>
      <c r="BJ31" s="42">
        <f>IF(AO48&gt;4,VLOOKUP(5,AO4:AQ48,2,FALSE),"")</f>
      </c>
      <c r="BK31" s="43">
        <f>IF(AO48&gt;4,VLOOKUP(5,AO4:AQ48,3,FALSE),"")</f>
      </c>
      <c r="BL31" s="42">
        <f t="shared" si="42"/>
      </c>
      <c r="BM31" s="62">
        <f t="shared" si="43"/>
      </c>
    </row>
    <row r="32" spans="1:65" ht="9.75" customHeight="1">
      <c r="A32" s="3"/>
      <c r="B32" s="56"/>
      <c r="C32" s="56"/>
      <c r="D32" s="56"/>
      <c r="E32" s="21"/>
      <c r="F32" s="21"/>
      <c r="G32" s="56"/>
      <c r="H32" s="56"/>
      <c r="I32" s="56"/>
      <c r="J32" s="56"/>
      <c r="K32" s="56"/>
      <c r="L32" s="56"/>
      <c r="M32" s="56"/>
      <c r="N32" s="59">
        <v>1</v>
      </c>
      <c r="O32" s="45">
        <v>7</v>
      </c>
      <c r="P32" s="44">
        <v>1</v>
      </c>
      <c r="Q32" s="45">
        <v>3</v>
      </c>
      <c r="R32" s="47">
        <f>IF($AT$52&gt;2,HLOOKUP($AT$52,$B$3:$Q$48,30,FALSE),0)</f>
        <v>0</v>
      </c>
      <c r="S32" s="48">
        <f>IF($AT$52&gt;2,HLOOKUP($AT$57,$B$3:$Q$48,30,FALSE),0)</f>
        <v>0</v>
      </c>
      <c r="T32" s="525">
        <f>IF(R32&gt;0,VLOOKUP(R32,$B$52:$E$61,2,FALSE),"")</f>
      </c>
      <c r="U32" s="526"/>
      <c r="V32" s="527">
        <f t="shared" si="20"/>
      </c>
      <c r="W32" s="527"/>
      <c r="X32" s="42"/>
      <c r="Y32" s="62"/>
      <c r="Z32" s="6">
        <f t="shared" si="21"/>
        <v>4</v>
      </c>
      <c r="AA32" s="49">
        <f t="shared" si="22"/>
      </c>
      <c r="AB32" s="50">
        <f t="shared" si="0"/>
      </c>
      <c r="AC32" s="6">
        <f t="shared" si="35"/>
        <v>4</v>
      </c>
      <c r="AD32" s="51">
        <f t="shared" si="1"/>
      </c>
      <c r="AE32" s="52">
        <f t="shared" si="2"/>
      </c>
      <c r="AF32" s="6">
        <f t="shared" si="23"/>
        <v>4</v>
      </c>
      <c r="AG32" s="49">
        <f t="shared" si="3"/>
      </c>
      <c r="AH32" s="50">
        <f t="shared" si="4"/>
      </c>
      <c r="AI32" s="6">
        <f t="shared" si="24"/>
        <v>4</v>
      </c>
      <c r="AJ32" s="51">
        <f t="shared" si="5"/>
      </c>
      <c r="AK32" s="52">
        <f t="shared" si="6"/>
      </c>
      <c r="AL32" s="6">
        <f t="shared" si="25"/>
        <v>4</v>
      </c>
      <c r="AM32" s="49">
        <f t="shared" si="7"/>
      </c>
      <c r="AN32" s="50">
        <f t="shared" si="8"/>
      </c>
      <c r="AO32" s="6">
        <f t="shared" si="26"/>
        <v>0</v>
      </c>
      <c r="AP32" s="51">
        <f t="shared" si="9"/>
      </c>
      <c r="AQ32" s="52">
        <f t="shared" si="10"/>
      </c>
      <c r="AR32" s="6">
        <f t="shared" si="27"/>
        <v>0</v>
      </c>
      <c r="AS32" s="49">
        <f t="shared" si="11"/>
      </c>
      <c r="AT32" s="50">
        <f t="shared" si="12"/>
      </c>
      <c r="AU32" s="6">
        <f t="shared" si="28"/>
        <v>0</v>
      </c>
      <c r="AV32" s="51">
        <f t="shared" si="13"/>
      </c>
      <c r="AW32" s="52">
        <f t="shared" si="14"/>
      </c>
      <c r="AX32" s="6">
        <f t="shared" si="29"/>
        <v>0</v>
      </c>
      <c r="AY32" s="49">
        <f t="shared" si="15"/>
      </c>
      <c r="AZ32" s="50">
        <f t="shared" si="16"/>
      </c>
      <c r="BA32" s="6">
        <f t="shared" si="30"/>
        <v>0</v>
      </c>
      <c r="BB32" s="51">
        <f t="shared" si="17"/>
      </c>
      <c r="BC32" s="53">
        <f t="shared" si="18"/>
      </c>
      <c r="BE32" s="42">
        <f>IF(AL48&gt;5,VLOOKUP(6,AL4:AN48,2,FALSE),"")</f>
      </c>
      <c r="BF32" s="43">
        <f>IF(AL48&gt;5,VLOOKUP(6,AL4:AN48,3,FALSE),"")</f>
      </c>
      <c r="BG32" s="42">
        <f t="shared" si="40"/>
      </c>
      <c r="BH32" s="62">
        <f t="shared" si="41"/>
      </c>
      <c r="BI32" s="17"/>
      <c r="BJ32" s="42">
        <f>IF(AO48&gt;5,VLOOKUP(6,AO4:AQ48,2,FALSE),"")</f>
      </c>
      <c r="BK32" s="43">
        <f>IF(AO48&gt;5,VLOOKUP(6,AO4:AQ48,3,FALSE),"")</f>
      </c>
      <c r="BL32" s="42">
        <f t="shared" si="42"/>
      </c>
      <c r="BM32" s="62">
        <f t="shared" si="43"/>
      </c>
    </row>
    <row r="33" spans="1:65" ht="9.75" customHeight="1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4">
        <v>6</v>
      </c>
      <c r="O33" s="45">
        <v>8</v>
      </c>
      <c r="P33" s="44">
        <v>2</v>
      </c>
      <c r="Q33" s="45">
        <v>4</v>
      </c>
      <c r="R33" s="47">
        <f>IF($AT$52&gt;2,HLOOKUP($AT$52,$B$3:$Q$48,31,FALSE),0)</f>
        <v>0</v>
      </c>
      <c r="S33" s="48">
        <f>IF($AT$52&gt;2,HLOOKUP($AT$57,$B$3:$Q$48,31,FALSE),0)</f>
        <v>0</v>
      </c>
      <c r="T33" s="525">
        <f t="shared" si="19"/>
      </c>
      <c r="U33" s="526"/>
      <c r="V33" s="527">
        <f t="shared" si="20"/>
      </c>
      <c r="W33" s="527"/>
      <c r="X33" s="42"/>
      <c r="Y33" s="62"/>
      <c r="Z33" s="6">
        <f t="shared" si="21"/>
        <v>4</v>
      </c>
      <c r="AA33" s="49">
        <f t="shared" si="22"/>
      </c>
      <c r="AB33" s="50">
        <f t="shared" si="0"/>
      </c>
      <c r="AC33" s="6">
        <f t="shared" si="35"/>
        <v>4</v>
      </c>
      <c r="AD33" s="51">
        <f t="shared" si="1"/>
      </c>
      <c r="AE33" s="52">
        <f t="shared" si="2"/>
      </c>
      <c r="AF33" s="6">
        <f t="shared" si="23"/>
        <v>4</v>
      </c>
      <c r="AG33" s="49">
        <f t="shared" si="3"/>
      </c>
      <c r="AH33" s="50">
        <f t="shared" si="4"/>
      </c>
      <c r="AI33" s="6">
        <f t="shared" si="24"/>
        <v>4</v>
      </c>
      <c r="AJ33" s="51">
        <f t="shared" si="5"/>
      </c>
      <c r="AK33" s="52">
        <f t="shared" si="6"/>
      </c>
      <c r="AL33" s="6">
        <f t="shared" si="25"/>
        <v>4</v>
      </c>
      <c r="AM33" s="49">
        <f t="shared" si="7"/>
      </c>
      <c r="AN33" s="50">
        <f t="shared" si="8"/>
      </c>
      <c r="AO33" s="6">
        <f t="shared" si="26"/>
        <v>0</v>
      </c>
      <c r="AP33" s="51">
        <f t="shared" si="9"/>
      </c>
      <c r="AQ33" s="52">
        <f t="shared" si="10"/>
      </c>
      <c r="AR33" s="6">
        <f t="shared" si="27"/>
        <v>0</v>
      </c>
      <c r="AS33" s="49">
        <f t="shared" si="11"/>
      </c>
      <c r="AT33" s="50">
        <f t="shared" si="12"/>
      </c>
      <c r="AU33" s="6">
        <f t="shared" si="28"/>
        <v>0</v>
      </c>
      <c r="AV33" s="51">
        <f t="shared" si="13"/>
      </c>
      <c r="AW33" s="52">
        <f t="shared" si="14"/>
      </c>
      <c r="AX33" s="6">
        <f t="shared" si="29"/>
        <v>0</v>
      </c>
      <c r="AY33" s="49">
        <f t="shared" si="15"/>
      </c>
      <c r="AZ33" s="50">
        <f t="shared" si="16"/>
      </c>
      <c r="BA33" s="6">
        <f t="shared" si="30"/>
        <v>0</v>
      </c>
      <c r="BB33" s="51">
        <f t="shared" si="17"/>
      </c>
      <c r="BC33" s="53">
        <f t="shared" si="18"/>
      </c>
      <c r="BE33" s="42">
        <f>IF(AL48&gt;6,VLOOKUP(7,AL4:AN48,2,FALSE),"")</f>
      </c>
      <c r="BF33" s="43">
        <f>IF(AL48&gt;6,VLOOKUP(7,AL4:AN48,3,FALSE),"")</f>
      </c>
      <c r="BG33" s="42">
        <f t="shared" si="40"/>
      </c>
      <c r="BH33" s="62">
        <f t="shared" si="41"/>
      </c>
      <c r="BI33" s="17"/>
      <c r="BJ33" s="42">
        <f>IF(AO48&gt;6,VLOOKUP(7,AO4:AQ48,2,FALSE),"")</f>
      </c>
      <c r="BK33" s="43">
        <f>IF(AO48&gt;6,VLOOKUP(7,AO4:AQ48,3,FALSE),"")</f>
      </c>
      <c r="BL33" s="42">
        <f t="shared" si="42"/>
      </c>
      <c r="BM33" s="62">
        <f t="shared" si="43"/>
      </c>
    </row>
    <row r="34" spans="1:65" ht="9.75" customHeight="1">
      <c r="A34" s="3"/>
      <c r="B34" s="5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6"/>
      <c r="N34" s="44">
        <v>3</v>
      </c>
      <c r="O34" s="45">
        <v>5</v>
      </c>
      <c r="P34" s="44">
        <v>7</v>
      </c>
      <c r="Q34" s="46">
        <v>10</v>
      </c>
      <c r="R34" s="47">
        <f>IF($AT$52&gt;2,HLOOKUP($AT$52,$B$3:$Q$48,32,FALSE),0)</f>
        <v>0</v>
      </c>
      <c r="S34" s="48">
        <f>IF($AT$52&gt;2,HLOOKUP($AT$57,$B$3:$Q$48,32,FALSE),0)</f>
        <v>0</v>
      </c>
      <c r="T34" s="525">
        <f t="shared" si="19"/>
      </c>
      <c r="U34" s="526"/>
      <c r="V34" s="527">
        <f t="shared" si="20"/>
      </c>
      <c r="W34" s="527"/>
      <c r="X34" s="42"/>
      <c r="Y34" s="62"/>
      <c r="Z34" s="6">
        <f t="shared" si="21"/>
        <v>4</v>
      </c>
      <c r="AA34" s="49">
        <f t="shared" si="22"/>
      </c>
      <c r="AB34" s="50">
        <f t="shared" si="0"/>
      </c>
      <c r="AC34" s="6">
        <f t="shared" si="35"/>
        <v>4</v>
      </c>
      <c r="AD34" s="51">
        <f t="shared" si="1"/>
      </c>
      <c r="AE34" s="52">
        <f t="shared" si="2"/>
      </c>
      <c r="AF34" s="6">
        <f t="shared" si="23"/>
        <v>4</v>
      </c>
      <c r="AG34" s="49">
        <f t="shared" si="3"/>
      </c>
      <c r="AH34" s="50">
        <f t="shared" si="4"/>
      </c>
      <c r="AI34" s="6">
        <f t="shared" si="24"/>
        <v>4</v>
      </c>
      <c r="AJ34" s="51">
        <f t="shared" si="5"/>
      </c>
      <c r="AK34" s="52">
        <f t="shared" si="6"/>
      </c>
      <c r="AL34" s="6">
        <f t="shared" si="25"/>
        <v>4</v>
      </c>
      <c r="AM34" s="49">
        <f t="shared" si="7"/>
      </c>
      <c r="AN34" s="50">
        <f t="shared" si="8"/>
      </c>
      <c r="AO34" s="6">
        <f t="shared" si="26"/>
        <v>0</v>
      </c>
      <c r="AP34" s="51">
        <f t="shared" si="9"/>
      </c>
      <c r="AQ34" s="52">
        <f t="shared" si="10"/>
      </c>
      <c r="AR34" s="6">
        <f t="shared" si="27"/>
        <v>0</v>
      </c>
      <c r="AS34" s="49">
        <f t="shared" si="11"/>
      </c>
      <c r="AT34" s="50">
        <f t="shared" si="12"/>
      </c>
      <c r="AU34" s="6">
        <f t="shared" si="28"/>
        <v>0</v>
      </c>
      <c r="AV34" s="51">
        <f t="shared" si="13"/>
      </c>
      <c r="AW34" s="52">
        <f t="shared" si="14"/>
      </c>
      <c r="AX34" s="6">
        <f t="shared" si="29"/>
        <v>0</v>
      </c>
      <c r="AY34" s="49">
        <f t="shared" si="15"/>
      </c>
      <c r="AZ34" s="50">
        <f t="shared" si="16"/>
      </c>
      <c r="BA34" s="6">
        <f t="shared" si="30"/>
        <v>0</v>
      </c>
      <c r="BB34" s="51">
        <f t="shared" si="17"/>
      </c>
      <c r="BC34" s="53">
        <f t="shared" si="18"/>
      </c>
      <c r="BE34" s="42">
        <f>IF(AL48&gt;7,VLOOKUP(8,AL4:AN48,2,FALSE),"")</f>
      </c>
      <c r="BF34" s="43">
        <f>IF(AL48&gt;7,VLOOKUP(8,AL4:AN48,3,FALSE),"")</f>
      </c>
      <c r="BG34" s="42">
        <f t="shared" si="40"/>
      </c>
      <c r="BH34" s="62">
        <f t="shared" si="41"/>
      </c>
      <c r="BI34" s="17"/>
      <c r="BJ34" s="42">
        <f>IF(AO48&gt;7,VLOOKUP(8,AO4:AQ48,2,FALSE),"")</f>
      </c>
      <c r="BK34" s="43">
        <f>IF(AO48&gt;7,VLOOKUP(8,AO4:AQ48,3,FALSE),"")</f>
      </c>
      <c r="BL34" s="42">
        <f t="shared" si="42"/>
      </c>
      <c r="BM34" s="62">
        <f t="shared" si="43"/>
      </c>
    </row>
    <row r="35" spans="1:65" ht="9.75" customHeight="1" thickBot="1">
      <c r="A35" s="3"/>
      <c r="B35" s="5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6"/>
      <c r="N35" s="44">
        <v>4</v>
      </c>
      <c r="O35" s="45">
        <v>9</v>
      </c>
      <c r="P35" s="44">
        <v>3</v>
      </c>
      <c r="Q35" s="45">
        <v>9</v>
      </c>
      <c r="R35" s="47">
        <f>IF($AT$52&gt;2,HLOOKUP($AT$52,$B$3:$Q$48,33,FALSE),0)</f>
        <v>0</v>
      </c>
      <c r="S35" s="48">
        <f>IF($AT$52&gt;2,HLOOKUP($AT$57,$B$3:$Q$48,33,FALSE),0)</f>
        <v>0</v>
      </c>
      <c r="T35" s="525">
        <f t="shared" si="19"/>
      </c>
      <c r="U35" s="526"/>
      <c r="V35" s="527">
        <f t="shared" si="20"/>
      </c>
      <c r="W35" s="527"/>
      <c r="X35" s="42"/>
      <c r="Y35" s="62"/>
      <c r="Z35" s="6">
        <f t="shared" si="21"/>
        <v>4</v>
      </c>
      <c r="AA35" s="49">
        <f t="shared" si="22"/>
      </c>
      <c r="AB35" s="50">
        <f t="shared" si="0"/>
      </c>
      <c r="AC35" s="6">
        <f t="shared" si="35"/>
        <v>4</v>
      </c>
      <c r="AD35" s="51">
        <f t="shared" si="1"/>
      </c>
      <c r="AE35" s="52">
        <f t="shared" si="2"/>
      </c>
      <c r="AF35" s="6">
        <f t="shared" si="23"/>
        <v>4</v>
      </c>
      <c r="AG35" s="49">
        <f t="shared" si="3"/>
      </c>
      <c r="AH35" s="50">
        <f t="shared" si="4"/>
      </c>
      <c r="AI35" s="6">
        <f t="shared" si="24"/>
        <v>4</v>
      </c>
      <c r="AJ35" s="51">
        <f t="shared" si="5"/>
      </c>
      <c r="AK35" s="52">
        <f t="shared" si="6"/>
      </c>
      <c r="AL35" s="6">
        <f t="shared" si="25"/>
        <v>4</v>
      </c>
      <c r="AM35" s="49">
        <f t="shared" si="7"/>
      </c>
      <c r="AN35" s="50">
        <f t="shared" si="8"/>
      </c>
      <c r="AO35" s="6">
        <f t="shared" si="26"/>
        <v>0</v>
      </c>
      <c r="AP35" s="51">
        <f t="shared" si="9"/>
      </c>
      <c r="AQ35" s="52">
        <f t="shared" si="10"/>
      </c>
      <c r="AR35" s="6">
        <f t="shared" si="27"/>
        <v>0</v>
      </c>
      <c r="AS35" s="49">
        <f t="shared" si="11"/>
      </c>
      <c r="AT35" s="50">
        <f t="shared" si="12"/>
      </c>
      <c r="AU35" s="6">
        <f t="shared" si="28"/>
        <v>0</v>
      </c>
      <c r="AV35" s="51">
        <f t="shared" si="13"/>
      </c>
      <c r="AW35" s="52">
        <f t="shared" si="14"/>
      </c>
      <c r="AX35" s="6">
        <f t="shared" si="29"/>
        <v>0</v>
      </c>
      <c r="AY35" s="49">
        <f t="shared" si="15"/>
      </c>
      <c r="AZ35" s="50">
        <f t="shared" si="16"/>
      </c>
      <c r="BA35" s="6">
        <f t="shared" si="30"/>
        <v>0</v>
      </c>
      <c r="BB35" s="51">
        <f t="shared" si="17"/>
      </c>
      <c r="BC35" s="53">
        <f t="shared" si="18"/>
      </c>
      <c r="BE35" s="57">
        <f>IF(AL48&gt;8,VLOOKUP(9,AL4:AN48,2,FALSE),"")</f>
      </c>
      <c r="BF35" s="58">
        <f>IF(AL48&gt;8,VLOOKUP(9,AL4:AN48,3,FALSE),"")</f>
      </c>
      <c r="BG35" s="42">
        <f t="shared" si="40"/>
      </c>
      <c r="BH35" s="62">
        <f t="shared" si="41"/>
      </c>
      <c r="BI35" s="17"/>
      <c r="BJ35" s="57">
        <f>IF(AO48&gt;8,VLOOKUP(9,AO4:AQ48,2,FALSE),"")</f>
      </c>
      <c r="BK35" s="58">
        <f>IF(AO48&gt;8,VLOOKUP(9,AO4:AQ48,3,FALSE),"")</f>
      </c>
      <c r="BL35" s="42">
        <f t="shared" si="42"/>
      </c>
      <c r="BM35" s="62">
        <f t="shared" si="43"/>
      </c>
    </row>
    <row r="36" spans="1:65" ht="9.75" customHeight="1" thickBot="1">
      <c r="A36" s="3"/>
      <c r="B36" s="5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6"/>
      <c r="N36" s="44">
        <v>7</v>
      </c>
      <c r="O36" s="45">
        <v>8</v>
      </c>
      <c r="P36" s="44">
        <v>4</v>
      </c>
      <c r="Q36" s="45">
        <v>8</v>
      </c>
      <c r="R36" s="47">
        <f>IF($AT$52&gt;2,HLOOKUP($AT$52,$B$3:$Q$48,34,FALSE),0)</f>
        <v>0</v>
      </c>
      <c r="S36" s="48">
        <f>IF($AT$52&gt;2,HLOOKUP($AT$57,$B$3:$Q$48,34,FALSE),0)</f>
        <v>0</v>
      </c>
      <c r="T36" s="525">
        <f t="shared" si="19"/>
      </c>
      <c r="U36" s="526"/>
      <c r="V36" s="527">
        <f t="shared" si="20"/>
      </c>
      <c r="W36" s="527"/>
      <c r="X36" s="42"/>
      <c r="Y36" s="62"/>
      <c r="Z36" s="6">
        <f t="shared" si="21"/>
        <v>4</v>
      </c>
      <c r="AA36" s="49">
        <f t="shared" si="22"/>
      </c>
      <c r="AB36" s="50">
        <f t="shared" si="0"/>
      </c>
      <c r="AC36" s="6">
        <f t="shared" si="35"/>
        <v>4</v>
      </c>
      <c r="AD36" s="51">
        <f t="shared" si="1"/>
      </c>
      <c r="AE36" s="52">
        <f t="shared" si="2"/>
      </c>
      <c r="AF36" s="6">
        <f t="shared" si="23"/>
        <v>4</v>
      </c>
      <c r="AG36" s="49">
        <f t="shared" si="3"/>
      </c>
      <c r="AH36" s="50">
        <f t="shared" si="4"/>
      </c>
      <c r="AI36" s="6">
        <f t="shared" si="24"/>
        <v>4</v>
      </c>
      <c r="AJ36" s="51">
        <f t="shared" si="5"/>
      </c>
      <c r="AK36" s="52">
        <f t="shared" si="6"/>
      </c>
      <c r="AL36" s="6">
        <f t="shared" si="25"/>
        <v>4</v>
      </c>
      <c r="AM36" s="49">
        <f t="shared" si="7"/>
      </c>
      <c r="AN36" s="50">
        <f t="shared" si="8"/>
      </c>
      <c r="AO36" s="6">
        <f t="shared" si="26"/>
        <v>0</v>
      </c>
      <c r="AP36" s="51">
        <f t="shared" si="9"/>
      </c>
      <c r="AQ36" s="52">
        <f t="shared" si="10"/>
      </c>
      <c r="AR36" s="6">
        <f t="shared" si="27"/>
        <v>0</v>
      </c>
      <c r="AS36" s="49">
        <f t="shared" si="11"/>
      </c>
      <c r="AT36" s="50">
        <f t="shared" si="12"/>
      </c>
      <c r="AU36" s="6">
        <f t="shared" si="28"/>
        <v>0</v>
      </c>
      <c r="AV36" s="51">
        <f t="shared" si="13"/>
      </c>
      <c r="AW36" s="52">
        <f t="shared" si="14"/>
      </c>
      <c r="AX36" s="6">
        <f t="shared" si="29"/>
        <v>0</v>
      </c>
      <c r="AY36" s="49">
        <f t="shared" si="15"/>
      </c>
      <c r="AZ36" s="50">
        <f t="shared" si="16"/>
      </c>
      <c r="BA36" s="6">
        <f t="shared" si="30"/>
        <v>0</v>
      </c>
      <c r="BB36" s="51">
        <f t="shared" si="17"/>
      </c>
      <c r="BC36" s="53">
        <f t="shared" si="18"/>
      </c>
      <c r="BE36" s="18">
        <f>IF(ISNUMBER(BE27),SUM(BE27:BE35),"")</f>
        <v>10</v>
      </c>
      <c r="BF36" s="19">
        <f>IF(ISNUMBER(BF27),SUM(BF27:BF35),"")</f>
        <v>7</v>
      </c>
      <c r="BG36" s="18">
        <f>IF(ISNUMBER(BG27),SUM(BG27:BG35),"")</f>
        <v>6</v>
      </c>
      <c r="BH36" s="20">
        <f>IF(ISNUMBER(BH27),SUM(BH27:BH35),"")</f>
        <v>6</v>
      </c>
      <c r="BI36" s="21"/>
      <c r="BJ36" s="18">
        <f>IF(ISNUMBER(BJ27),SUM(BJ27:BJ35),"")</f>
      </c>
      <c r="BK36" s="19">
        <f>IF(ISNUMBER(BK27),SUM(BK27:BK35),"")</f>
      </c>
      <c r="BL36" s="18">
        <f>IF(ISNUMBER(BL27),SUM(BL27:BL35),"")</f>
      </c>
      <c r="BM36" s="20">
        <f>IF(ISNUMBER(BM27),SUM(BM27:BM35),"")</f>
      </c>
    </row>
    <row r="37" spans="1:65" ht="9.75" customHeight="1" thickBot="1">
      <c r="A37" s="3"/>
      <c r="B37" s="5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44">
        <v>5</v>
      </c>
      <c r="O37" s="45">
        <v>6</v>
      </c>
      <c r="P37" s="44">
        <v>2</v>
      </c>
      <c r="Q37" s="45">
        <v>6</v>
      </c>
      <c r="R37" s="47">
        <f>IF($AT$52&gt;2,HLOOKUP($AT$52,$B$3:$Q$48,35,FALSE),0)</f>
        <v>0</v>
      </c>
      <c r="S37" s="48">
        <f>IF($AT$52&gt;2,HLOOKUP($AT$57,$B$3:$Q$48,35,FALSE),0)</f>
        <v>0</v>
      </c>
      <c r="T37" s="525">
        <f t="shared" si="19"/>
      </c>
      <c r="U37" s="526"/>
      <c r="V37" s="527">
        <f t="shared" si="20"/>
      </c>
      <c r="W37" s="527"/>
      <c r="X37" s="42"/>
      <c r="Y37" s="62"/>
      <c r="Z37" s="6">
        <f t="shared" si="21"/>
        <v>4</v>
      </c>
      <c r="AA37" s="49">
        <f t="shared" si="22"/>
      </c>
      <c r="AB37" s="50">
        <f t="shared" si="0"/>
      </c>
      <c r="AC37" s="6">
        <f t="shared" si="35"/>
        <v>4</v>
      </c>
      <c r="AD37" s="51">
        <f t="shared" si="1"/>
      </c>
      <c r="AE37" s="52">
        <f t="shared" si="2"/>
      </c>
      <c r="AF37" s="6">
        <f t="shared" si="23"/>
        <v>4</v>
      </c>
      <c r="AG37" s="49">
        <f t="shared" si="3"/>
      </c>
      <c r="AH37" s="50">
        <f t="shared" si="4"/>
      </c>
      <c r="AI37" s="6">
        <f t="shared" si="24"/>
        <v>4</v>
      </c>
      <c r="AJ37" s="51">
        <f t="shared" si="5"/>
      </c>
      <c r="AK37" s="52">
        <f t="shared" si="6"/>
      </c>
      <c r="AL37" s="6">
        <f t="shared" si="25"/>
        <v>4</v>
      </c>
      <c r="AM37" s="49">
        <f t="shared" si="7"/>
      </c>
      <c r="AN37" s="50">
        <f t="shared" si="8"/>
      </c>
      <c r="AO37" s="6">
        <f t="shared" si="26"/>
        <v>0</v>
      </c>
      <c r="AP37" s="51">
        <f t="shared" si="9"/>
      </c>
      <c r="AQ37" s="52">
        <f t="shared" si="10"/>
      </c>
      <c r="AR37" s="6">
        <f t="shared" si="27"/>
        <v>0</v>
      </c>
      <c r="AS37" s="49">
        <f t="shared" si="11"/>
      </c>
      <c r="AT37" s="50">
        <f t="shared" si="12"/>
      </c>
      <c r="AU37" s="6">
        <f t="shared" si="28"/>
        <v>0</v>
      </c>
      <c r="AV37" s="51">
        <f t="shared" si="13"/>
      </c>
      <c r="AW37" s="52">
        <f t="shared" si="14"/>
      </c>
      <c r="AX37" s="6">
        <f t="shared" si="29"/>
        <v>0</v>
      </c>
      <c r="AY37" s="49">
        <f t="shared" si="15"/>
      </c>
      <c r="AZ37" s="50">
        <f t="shared" si="16"/>
      </c>
      <c r="BA37" s="6">
        <f t="shared" si="30"/>
        <v>0</v>
      </c>
      <c r="BB37" s="51">
        <f t="shared" si="17"/>
      </c>
      <c r="BC37" s="53">
        <f t="shared" si="18"/>
      </c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9.75" customHeight="1" thickBot="1">
      <c r="A38" s="3"/>
      <c r="B38" s="5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56"/>
      <c r="N38" s="44">
        <v>3</v>
      </c>
      <c r="O38" s="45">
        <v>4</v>
      </c>
      <c r="P38" s="44">
        <v>1</v>
      </c>
      <c r="Q38" s="45">
        <v>5</v>
      </c>
      <c r="R38" s="47">
        <f>IF($AT$52&gt;2,HLOOKUP($AT$52,$B$3:$Q$48,36,FALSE),0)</f>
        <v>0</v>
      </c>
      <c r="S38" s="48">
        <f>IF($AT$52&gt;2,HLOOKUP($AT$57,$B$3:$Q$48,36,FALSE),0)</f>
        <v>0</v>
      </c>
      <c r="T38" s="525">
        <f t="shared" si="19"/>
      </c>
      <c r="U38" s="526"/>
      <c r="V38" s="527">
        <f t="shared" si="20"/>
      </c>
      <c r="W38" s="527"/>
      <c r="X38" s="42"/>
      <c r="Y38" s="62"/>
      <c r="Z38" s="6">
        <f t="shared" si="21"/>
        <v>4</v>
      </c>
      <c r="AA38" s="49">
        <f t="shared" si="22"/>
      </c>
      <c r="AB38" s="50">
        <f t="shared" si="0"/>
      </c>
      <c r="AC38" s="6">
        <f t="shared" si="35"/>
        <v>4</v>
      </c>
      <c r="AD38" s="51">
        <f t="shared" si="1"/>
      </c>
      <c r="AE38" s="52">
        <f t="shared" si="2"/>
      </c>
      <c r="AF38" s="6">
        <f t="shared" si="23"/>
        <v>4</v>
      </c>
      <c r="AG38" s="49">
        <f t="shared" si="3"/>
      </c>
      <c r="AH38" s="50">
        <f t="shared" si="4"/>
      </c>
      <c r="AI38" s="6">
        <f t="shared" si="24"/>
        <v>4</v>
      </c>
      <c r="AJ38" s="51">
        <f t="shared" si="5"/>
      </c>
      <c r="AK38" s="52">
        <f t="shared" si="6"/>
      </c>
      <c r="AL38" s="6">
        <f t="shared" si="25"/>
        <v>4</v>
      </c>
      <c r="AM38" s="49">
        <f t="shared" si="7"/>
      </c>
      <c r="AN38" s="50">
        <f t="shared" si="8"/>
      </c>
      <c r="AO38" s="6">
        <f t="shared" si="26"/>
        <v>0</v>
      </c>
      <c r="AP38" s="51">
        <f t="shared" si="9"/>
      </c>
      <c r="AQ38" s="52">
        <f t="shared" si="10"/>
      </c>
      <c r="AR38" s="6">
        <f t="shared" si="27"/>
        <v>0</v>
      </c>
      <c r="AS38" s="49">
        <f t="shared" si="11"/>
      </c>
      <c r="AT38" s="50">
        <f t="shared" si="12"/>
      </c>
      <c r="AU38" s="6">
        <f t="shared" si="28"/>
        <v>0</v>
      </c>
      <c r="AV38" s="51">
        <f t="shared" si="13"/>
      </c>
      <c r="AW38" s="52">
        <f t="shared" si="14"/>
      </c>
      <c r="AX38" s="6">
        <f t="shared" si="29"/>
        <v>0</v>
      </c>
      <c r="AY38" s="49">
        <f t="shared" si="15"/>
      </c>
      <c r="AZ38" s="50">
        <f t="shared" si="16"/>
      </c>
      <c r="BA38" s="6">
        <f t="shared" si="30"/>
        <v>0</v>
      </c>
      <c r="BB38" s="51">
        <f t="shared" si="17"/>
      </c>
      <c r="BC38" s="53">
        <f t="shared" si="18"/>
      </c>
      <c r="BE38" s="498">
        <f>C58</f>
      </c>
      <c r="BF38" s="499"/>
      <c r="BG38" s="499"/>
      <c r="BH38" s="500"/>
      <c r="BI38" s="17"/>
      <c r="BJ38" s="498">
        <f>C59</f>
      </c>
      <c r="BK38" s="499"/>
      <c r="BL38" s="499"/>
      <c r="BM38" s="500"/>
    </row>
    <row r="39" spans="1:65" ht="9.75" customHeight="1" thickBot="1">
      <c r="A39" s="3"/>
      <c r="B39" s="5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6"/>
      <c r="N39" s="54">
        <v>1</v>
      </c>
      <c r="O39" s="55">
        <v>2</v>
      </c>
      <c r="P39" s="44">
        <v>4</v>
      </c>
      <c r="Q39" s="46">
        <v>10</v>
      </c>
      <c r="R39" s="47">
        <f>IF($AT$52&gt;2,HLOOKUP($AT$52,$B$3:$Q$48,37,FALSE),0)</f>
        <v>0</v>
      </c>
      <c r="S39" s="48">
        <f>IF($AT$52&gt;2,HLOOKUP($AT$57,$B$3:$Q$48,37,FALSE),0)</f>
        <v>0</v>
      </c>
      <c r="T39" s="525">
        <f t="shared" si="19"/>
      </c>
      <c r="U39" s="526"/>
      <c r="V39" s="527">
        <f t="shared" si="20"/>
      </c>
      <c r="W39" s="527"/>
      <c r="X39" s="42"/>
      <c r="Y39" s="62"/>
      <c r="Z39" s="6">
        <f t="shared" si="21"/>
        <v>4</v>
      </c>
      <c r="AA39" s="49">
        <f t="shared" si="22"/>
      </c>
      <c r="AB39" s="50">
        <f t="shared" si="0"/>
      </c>
      <c r="AC39" s="6">
        <f t="shared" si="35"/>
        <v>4</v>
      </c>
      <c r="AD39" s="51">
        <f t="shared" si="1"/>
      </c>
      <c r="AE39" s="52">
        <f t="shared" si="2"/>
      </c>
      <c r="AF39" s="6">
        <f t="shared" si="23"/>
        <v>4</v>
      </c>
      <c r="AG39" s="49">
        <f t="shared" si="3"/>
      </c>
      <c r="AH39" s="50">
        <f t="shared" si="4"/>
      </c>
      <c r="AI39" s="6">
        <f t="shared" si="24"/>
        <v>4</v>
      </c>
      <c r="AJ39" s="51">
        <f t="shared" si="5"/>
      </c>
      <c r="AK39" s="52">
        <f t="shared" si="6"/>
      </c>
      <c r="AL39" s="6">
        <f t="shared" si="25"/>
        <v>4</v>
      </c>
      <c r="AM39" s="49">
        <f t="shared" si="7"/>
      </c>
      <c r="AN39" s="50">
        <f t="shared" si="8"/>
      </c>
      <c r="AO39" s="6">
        <f t="shared" si="26"/>
        <v>0</v>
      </c>
      <c r="AP39" s="51">
        <f t="shared" si="9"/>
      </c>
      <c r="AQ39" s="52">
        <f t="shared" si="10"/>
      </c>
      <c r="AR39" s="6">
        <f t="shared" si="27"/>
        <v>0</v>
      </c>
      <c r="AS39" s="49">
        <f t="shared" si="11"/>
      </c>
      <c r="AT39" s="50">
        <f t="shared" si="12"/>
      </c>
      <c r="AU39" s="6">
        <f t="shared" si="28"/>
        <v>0</v>
      </c>
      <c r="AV39" s="51">
        <f t="shared" si="13"/>
      </c>
      <c r="AW39" s="52">
        <f t="shared" si="14"/>
      </c>
      <c r="AX39" s="6">
        <f t="shared" si="29"/>
        <v>0</v>
      </c>
      <c r="AY39" s="49">
        <f t="shared" si="15"/>
      </c>
      <c r="AZ39" s="50">
        <f t="shared" si="16"/>
      </c>
      <c r="BA39" s="6">
        <f t="shared" si="30"/>
        <v>0</v>
      </c>
      <c r="BB39" s="51">
        <f t="shared" si="17"/>
      </c>
      <c r="BC39" s="53">
        <f t="shared" si="18"/>
      </c>
      <c r="BE39" s="27">
        <f>IF(AR48&gt;0,VLOOKUP(1,AR4:AT48,2,FALSE),"")</f>
      </c>
      <c r="BF39" s="28">
        <f>IF(AR48&gt;0,VLOOKUP(1,AR4:AT48,3,FALSE),"")</f>
      </c>
      <c r="BG39" s="27">
        <f>IF(ISNUMBER(BF39),IF(BE39=BF39,1,IF(BE39&gt;BF39,$BB$52,0)),"")</f>
      </c>
      <c r="BH39" s="89">
        <f>IF(ISNUMBER(BF39),IF(BE39=BF39,1,IF(BE39&lt;BF39,$BB$52,0)),"")</f>
      </c>
      <c r="BI39" s="17"/>
      <c r="BJ39" s="27">
        <f>IF(AU48&gt;0,VLOOKUP(1,AU4:AW48,2,FALSE),"")</f>
      </c>
      <c r="BK39" s="28">
        <f>IF(AU48&gt;0,VLOOKUP(1,AU4:AW48,3,FALSE),"")</f>
      </c>
      <c r="BL39" s="27">
        <f>IF(ISNUMBER(BK39),IF(BJ39=BK39,1,IF(BJ39&gt;BK39,$BB$52,0)),"")</f>
      </c>
      <c r="BM39" s="89">
        <f>IF(ISNUMBER(BK39),IF(BJ39=BK39,1,IF(BJ39&lt;BK39,$BB$52,0)),"")</f>
      </c>
    </row>
    <row r="40" spans="1:65" ht="9.75" customHeight="1">
      <c r="A40" s="3"/>
      <c r="B40" s="5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6"/>
      <c r="N40" s="56"/>
      <c r="O40" s="56"/>
      <c r="P40" s="44">
        <v>3</v>
      </c>
      <c r="Q40" s="45">
        <v>7</v>
      </c>
      <c r="R40" s="47">
        <f>IF($AT$52&gt;2,HLOOKUP($AT$52,$B$3:$Q$48,38,FALSE),0)</f>
        <v>0</v>
      </c>
      <c r="S40" s="48">
        <f>IF($AT$52&gt;2,HLOOKUP($AT$57,$B$3:$Q$48,38,FALSE),0)</f>
        <v>0</v>
      </c>
      <c r="T40" s="525">
        <f t="shared" si="19"/>
      </c>
      <c r="U40" s="526"/>
      <c r="V40" s="527">
        <f t="shared" si="20"/>
      </c>
      <c r="W40" s="527"/>
      <c r="X40" s="42"/>
      <c r="Y40" s="62"/>
      <c r="Z40" s="6">
        <f t="shared" si="21"/>
        <v>4</v>
      </c>
      <c r="AA40" s="49">
        <f t="shared" si="22"/>
      </c>
      <c r="AB40" s="50">
        <f t="shared" si="0"/>
      </c>
      <c r="AC40" s="6">
        <f t="shared" si="35"/>
        <v>4</v>
      </c>
      <c r="AD40" s="51">
        <f t="shared" si="1"/>
      </c>
      <c r="AE40" s="52">
        <f t="shared" si="2"/>
      </c>
      <c r="AF40" s="6">
        <f t="shared" si="23"/>
        <v>4</v>
      </c>
      <c r="AG40" s="49">
        <f t="shared" si="3"/>
      </c>
      <c r="AH40" s="50">
        <f t="shared" si="4"/>
      </c>
      <c r="AI40" s="6">
        <f t="shared" si="24"/>
        <v>4</v>
      </c>
      <c r="AJ40" s="51">
        <f t="shared" si="5"/>
      </c>
      <c r="AK40" s="52">
        <f t="shared" si="6"/>
      </c>
      <c r="AL40" s="6">
        <f t="shared" si="25"/>
        <v>4</v>
      </c>
      <c r="AM40" s="49">
        <f t="shared" si="7"/>
      </c>
      <c r="AN40" s="50">
        <f t="shared" si="8"/>
      </c>
      <c r="AO40" s="6">
        <f t="shared" si="26"/>
        <v>0</v>
      </c>
      <c r="AP40" s="51">
        <f t="shared" si="9"/>
      </c>
      <c r="AQ40" s="52">
        <f t="shared" si="10"/>
      </c>
      <c r="AR40" s="6">
        <f t="shared" si="27"/>
        <v>0</v>
      </c>
      <c r="AS40" s="49">
        <f t="shared" si="11"/>
      </c>
      <c r="AT40" s="50">
        <f t="shared" si="12"/>
      </c>
      <c r="AU40" s="6">
        <f t="shared" si="28"/>
        <v>0</v>
      </c>
      <c r="AV40" s="51">
        <f t="shared" si="13"/>
      </c>
      <c r="AW40" s="52">
        <f t="shared" si="14"/>
      </c>
      <c r="AX40" s="6">
        <f t="shared" si="29"/>
        <v>0</v>
      </c>
      <c r="AY40" s="49">
        <f t="shared" si="15"/>
      </c>
      <c r="AZ40" s="50">
        <f t="shared" si="16"/>
      </c>
      <c r="BA40" s="6">
        <f t="shared" si="30"/>
        <v>0</v>
      </c>
      <c r="BB40" s="51">
        <f t="shared" si="17"/>
      </c>
      <c r="BC40" s="53">
        <f t="shared" si="18"/>
      </c>
      <c r="BE40" s="42">
        <f>IF(AR48&gt;1,VLOOKUP(2,AR4:AT48,2,FALSE),"")</f>
      </c>
      <c r="BF40" s="43">
        <f>IF(AR48&gt;1,VLOOKUP(2,AR4:AT48,3,FALSE),"")</f>
      </c>
      <c r="BG40" s="42">
        <f>IF(ISNUMBER(BF40),IF(BE40=BF40,1,IF(BE40&gt;BF40,$BB$52,0)),"")</f>
      </c>
      <c r="BH40" s="62">
        <f>IF(ISNUMBER(BF40),IF(BE40=BF40,1,IF(BE40&lt;BF40,$BB$52,0)),"")</f>
      </c>
      <c r="BI40" s="17"/>
      <c r="BJ40" s="42">
        <f>IF(AU48&gt;1,VLOOKUP(2,AU4:AW48,2,FALSE),"")</f>
      </c>
      <c r="BK40" s="43">
        <f>IF(AU48&gt;1,VLOOKUP(2,AU4:AW48,3,FALSE),"")</f>
      </c>
      <c r="BL40" s="42">
        <f>IF(ISNUMBER(BK40),IF(BJ40=BK40,1,IF(BJ40&gt;BK40,$BB$52,0)),"")</f>
      </c>
      <c r="BM40" s="62">
        <f>IF(ISNUMBER(BK40),IF(BJ40=BK40,1,IF(BJ40&lt;BK40,$BB$52,0)),"")</f>
      </c>
    </row>
    <row r="41" spans="1:65" ht="9.75" customHeight="1">
      <c r="A41" s="3"/>
      <c r="B41" s="5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6"/>
      <c r="N41" s="56"/>
      <c r="O41" s="56"/>
      <c r="P41" s="44">
        <v>5</v>
      </c>
      <c r="Q41" s="45">
        <v>9</v>
      </c>
      <c r="R41" s="47">
        <f>IF($AT$52&gt;2,HLOOKUP($AT$52,$B$3:$Q$48,39,FALSE),0)</f>
        <v>0</v>
      </c>
      <c r="S41" s="48">
        <f>IF($AT$52&gt;2,HLOOKUP($AT$57,$B$3:$Q$48,39,FALSE),0)</f>
        <v>0</v>
      </c>
      <c r="T41" s="525">
        <f t="shared" si="19"/>
      </c>
      <c r="U41" s="526"/>
      <c r="V41" s="527">
        <f t="shared" si="20"/>
      </c>
      <c r="W41" s="527"/>
      <c r="X41" s="42"/>
      <c r="Y41" s="62"/>
      <c r="Z41" s="6">
        <f t="shared" si="21"/>
        <v>4</v>
      </c>
      <c r="AA41" s="49">
        <f t="shared" si="22"/>
      </c>
      <c r="AB41" s="50">
        <f t="shared" si="0"/>
      </c>
      <c r="AC41" s="6">
        <f t="shared" si="35"/>
        <v>4</v>
      </c>
      <c r="AD41" s="51">
        <f t="shared" si="1"/>
      </c>
      <c r="AE41" s="52">
        <f t="shared" si="2"/>
      </c>
      <c r="AF41" s="6">
        <f t="shared" si="23"/>
        <v>4</v>
      </c>
      <c r="AG41" s="49">
        <f t="shared" si="3"/>
      </c>
      <c r="AH41" s="50">
        <f t="shared" si="4"/>
      </c>
      <c r="AI41" s="6">
        <f t="shared" si="24"/>
        <v>4</v>
      </c>
      <c r="AJ41" s="51">
        <f t="shared" si="5"/>
      </c>
      <c r="AK41" s="52">
        <f t="shared" si="6"/>
      </c>
      <c r="AL41" s="6">
        <f t="shared" si="25"/>
        <v>4</v>
      </c>
      <c r="AM41" s="49">
        <f t="shared" si="7"/>
      </c>
      <c r="AN41" s="50">
        <f t="shared" si="8"/>
      </c>
      <c r="AO41" s="6">
        <f t="shared" si="26"/>
        <v>0</v>
      </c>
      <c r="AP41" s="51">
        <f t="shared" si="9"/>
      </c>
      <c r="AQ41" s="52">
        <f t="shared" si="10"/>
      </c>
      <c r="AR41" s="6">
        <f t="shared" si="27"/>
        <v>0</v>
      </c>
      <c r="AS41" s="49">
        <f t="shared" si="11"/>
      </c>
      <c r="AT41" s="50">
        <f t="shared" si="12"/>
      </c>
      <c r="AU41" s="6">
        <f t="shared" si="28"/>
        <v>0</v>
      </c>
      <c r="AV41" s="51">
        <f t="shared" si="13"/>
      </c>
      <c r="AW41" s="52">
        <f t="shared" si="14"/>
      </c>
      <c r="AX41" s="6">
        <f t="shared" si="29"/>
        <v>0</v>
      </c>
      <c r="AY41" s="49">
        <f t="shared" si="15"/>
      </c>
      <c r="AZ41" s="50">
        <f t="shared" si="16"/>
      </c>
      <c r="BA41" s="6">
        <f t="shared" si="30"/>
        <v>0</v>
      </c>
      <c r="BB41" s="51">
        <f t="shared" si="17"/>
      </c>
      <c r="BC41" s="53">
        <f t="shared" si="18"/>
      </c>
      <c r="BE41" s="42">
        <f>IF(AR48&gt;2,VLOOKUP(3,AR4:AT48,2,FALSE),"")</f>
      </c>
      <c r="BF41" s="43">
        <f>IF(AR48&gt;2,VLOOKUP(3,AR4:AT48,3,FALSE),"")</f>
      </c>
      <c r="BG41" s="42">
        <f aca="true" t="shared" si="44" ref="BG41:BG47">IF(ISNUMBER(BF41),IF(BE41=BF41,1,IF(BE41&gt;BF41,$BB$52,0)),"")</f>
      </c>
      <c r="BH41" s="62">
        <f aca="true" t="shared" si="45" ref="BH41:BH47">IF(ISNUMBER(BF41),IF(BE41=BF41,1,IF(BE41&lt;BF41,$BB$52,0)),"")</f>
      </c>
      <c r="BI41" s="17"/>
      <c r="BJ41" s="42">
        <f>IF(AU48&gt;2,VLOOKUP(3,AU4:AW48,2,FALSE),"")</f>
      </c>
      <c r="BK41" s="43">
        <f>IF(AU48&gt;2,VLOOKUP(3,AU4:AW48,3,FALSE),"")</f>
      </c>
      <c r="BL41" s="42">
        <f aca="true" t="shared" si="46" ref="BL41:BL47">IF(ISNUMBER(BK41),IF(BJ41=BK41,1,IF(BJ41&gt;BK41,$BB$52,0)),"")</f>
      </c>
      <c r="BM41" s="62">
        <f aca="true" t="shared" si="47" ref="BM41:BM47">IF(ISNUMBER(BK41),IF(BJ41=BK41,1,IF(BJ41&lt;BK41,$BB$52,0)),"")</f>
      </c>
    </row>
    <row r="42" spans="1:65" ht="9.75" customHeight="1">
      <c r="A42" s="3"/>
      <c r="B42" s="5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6"/>
      <c r="N42" s="56"/>
      <c r="O42" s="56"/>
      <c r="P42" s="44">
        <v>2</v>
      </c>
      <c r="Q42" s="45">
        <v>8</v>
      </c>
      <c r="R42" s="47">
        <f>IF($AT$52&gt;2,HLOOKUP($AT$52,$B$3:$Q$48,40,FALSE),0)</f>
        <v>0</v>
      </c>
      <c r="S42" s="48">
        <f>IF($AT$52&gt;2,HLOOKUP($AT$57,$B$3:$Q$48,40,FALSE),0)</f>
        <v>0</v>
      </c>
      <c r="T42" s="525">
        <f t="shared" si="19"/>
      </c>
      <c r="U42" s="526"/>
      <c r="V42" s="527">
        <f t="shared" si="20"/>
      </c>
      <c r="W42" s="527"/>
      <c r="X42" s="42"/>
      <c r="Y42" s="62"/>
      <c r="Z42" s="6">
        <f t="shared" si="21"/>
        <v>4</v>
      </c>
      <c r="AA42" s="49">
        <f t="shared" si="22"/>
      </c>
      <c r="AB42" s="50">
        <f t="shared" si="0"/>
      </c>
      <c r="AC42" s="6">
        <f t="shared" si="35"/>
        <v>4</v>
      </c>
      <c r="AD42" s="51">
        <f t="shared" si="1"/>
      </c>
      <c r="AE42" s="52">
        <f t="shared" si="2"/>
      </c>
      <c r="AF42" s="6">
        <f t="shared" si="23"/>
        <v>4</v>
      </c>
      <c r="AG42" s="49">
        <f t="shared" si="3"/>
      </c>
      <c r="AH42" s="50">
        <f t="shared" si="4"/>
      </c>
      <c r="AI42" s="6">
        <f t="shared" si="24"/>
        <v>4</v>
      </c>
      <c r="AJ42" s="51">
        <f t="shared" si="5"/>
      </c>
      <c r="AK42" s="52">
        <f t="shared" si="6"/>
      </c>
      <c r="AL42" s="6">
        <f t="shared" si="25"/>
        <v>4</v>
      </c>
      <c r="AM42" s="49">
        <f t="shared" si="7"/>
      </c>
      <c r="AN42" s="50">
        <f t="shared" si="8"/>
      </c>
      <c r="AO42" s="6">
        <f t="shared" si="26"/>
        <v>0</v>
      </c>
      <c r="AP42" s="51">
        <f t="shared" si="9"/>
      </c>
      <c r="AQ42" s="52">
        <f t="shared" si="10"/>
      </c>
      <c r="AR42" s="6">
        <f t="shared" si="27"/>
        <v>0</v>
      </c>
      <c r="AS42" s="49">
        <f t="shared" si="11"/>
      </c>
      <c r="AT42" s="50">
        <f t="shared" si="12"/>
      </c>
      <c r="AU42" s="6">
        <f t="shared" si="28"/>
        <v>0</v>
      </c>
      <c r="AV42" s="51">
        <f t="shared" si="13"/>
      </c>
      <c r="AW42" s="52">
        <f t="shared" si="14"/>
      </c>
      <c r="AX42" s="6">
        <f t="shared" si="29"/>
        <v>0</v>
      </c>
      <c r="AY42" s="49">
        <f t="shared" si="15"/>
      </c>
      <c r="AZ42" s="50">
        <f t="shared" si="16"/>
      </c>
      <c r="BA42" s="6">
        <f t="shared" si="30"/>
        <v>0</v>
      </c>
      <c r="BB42" s="51">
        <f t="shared" si="17"/>
      </c>
      <c r="BC42" s="53">
        <f t="shared" si="18"/>
      </c>
      <c r="BE42" s="42">
        <f>IF(AR48&gt;3,VLOOKUP(4,AR4:AT48,2,FALSE),"")</f>
      </c>
      <c r="BF42" s="43">
        <f>IF(AR48&gt;3,VLOOKUP(4,AR4:AT48,3,FALSE),"")</f>
      </c>
      <c r="BG42" s="42">
        <f t="shared" si="44"/>
      </c>
      <c r="BH42" s="62">
        <f t="shared" si="45"/>
      </c>
      <c r="BI42" s="17"/>
      <c r="BJ42" s="42">
        <f>IF(AU48&gt;3,VLOOKUP(4,AU4:AW48,2,FALSE),"")</f>
      </c>
      <c r="BK42" s="43">
        <f>IF(AU48&gt;3,VLOOKUP(4,AU4:AW48,3,FALSE),"")</f>
      </c>
      <c r="BL42" s="42">
        <f t="shared" si="46"/>
      </c>
      <c r="BM42" s="62">
        <f t="shared" si="47"/>
      </c>
    </row>
    <row r="43" spans="1:65" ht="9.75" customHeight="1">
      <c r="A43" s="3"/>
      <c r="B43" s="5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6"/>
      <c r="N43" s="56"/>
      <c r="O43" s="56"/>
      <c r="P43" s="44">
        <v>1</v>
      </c>
      <c r="Q43" s="45">
        <v>6</v>
      </c>
      <c r="R43" s="47">
        <f>IF($AT$52&gt;2,HLOOKUP($AT$52,$B$3:$Q$48,41,FALSE),0)</f>
        <v>0</v>
      </c>
      <c r="S43" s="48">
        <f>IF($AT$52&gt;2,HLOOKUP($AT$57,$B$3:$Q$48,41,FALSE),0)</f>
        <v>0</v>
      </c>
      <c r="T43" s="525">
        <f t="shared" si="19"/>
      </c>
      <c r="U43" s="526"/>
      <c r="V43" s="527">
        <f t="shared" si="20"/>
      </c>
      <c r="W43" s="527"/>
      <c r="X43" s="42"/>
      <c r="Y43" s="62"/>
      <c r="Z43" s="6">
        <f t="shared" si="21"/>
        <v>4</v>
      </c>
      <c r="AA43" s="49">
        <f t="shared" si="22"/>
      </c>
      <c r="AB43" s="50">
        <f t="shared" si="0"/>
      </c>
      <c r="AC43" s="6">
        <f t="shared" si="35"/>
        <v>4</v>
      </c>
      <c r="AD43" s="51">
        <f t="shared" si="1"/>
      </c>
      <c r="AE43" s="52">
        <f t="shared" si="2"/>
      </c>
      <c r="AF43" s="6">
        <f t="shared" si="23"/>
        <v>4</v>
      </c>
      <c r="AG43" s="49">
        <f t="shared" si="3"/>
      </c>
      <c r="AH43" s="50">
        <f t="shared" si="4"/>
      </c>
      <c r="AI43" s="6">
        <f t="shared" si="24"/>
        <v>4</v>
      </c>
      <c r="AJ43" s="51">
        <f t="shared" si="5"/>
      </c>
      <c r="AK43" s="52">
        <f t="shared" si="6"/>
      </c>
      <c r="AL43" s="6">
        <f t="shared" si="25"/>
        <v>4</v>
      </c>
      <c r="AM43" s="49">
        <f t="shared" si="7"/>
      </c>
      <c r="AN43" s="50">
        <f t="shared" si="8"/>
      </c>
      <c r="AO43" s="6">
        <f t="shared" si="26"/>
        <v>0</v>
      </c>
      <c r="AP43" s="51">
        <f t="shared" si="9"/>
      </c>
      <c r="AQ43" s="52">
        <f t="shared" si="10"/>
      </c>
      <c r="AR43" s="6">
        <f t="shared" si="27"/>
        <v>0</v>
      </c>
      <c r="AS43" s="49">
        <f t="shared" si="11"/>
      </c>
      <c r="AT43" s="50">
        <f t="shared" si="12"/>
      </c>
      <c r="AU43" s="6">
        <f t="shared" si="28"/>
        <v>0</v>
      </c>
      <c r="AV43" s="51">
        <f t="shared" si="13"/>
      </c>
      <c r="AW43" s="52">
        <f t="shared" si="14"/>
      </c>
      <c r="AX43" s="6">
        <f t="shared" si="29"/>
        <v>0</v>
      </c>
      <c r="AY43" s="49">
        <f t="shared" si="15"/>
      </c>
      <c r="AZ43" s="50">
        <f t="shared" si="16"/>
      </c>
      <c r="BA43" s="6">
        <f t="shared" si="30"/>
        <v>0</v>
      </c>
      <c r="BB43" s="51">
        <f t="shared" si="17"/>
      </c>
      <c r="BC43" s="53">
        <f t="shared" si="18"/>
      </c>
      <c r="BE43" s="42">
        <f>IF(AR48&gt;4,VLOOKUP(5,AR4:AT48,2,FALSE),"")</f>
      </c>
      <c r="BF43" s="43">
        <f>IF(AR48&gt;4,VLOOKUP(5,AR4:AT48,3,FALSE),"")</f>
      </c>
      <c r="BG43" s="42">
        <f t="shared" si="44"/>
      </c>
      <c r="BH43" s="62">
        <f t="shared" si="45"/>
      </c>
      <c r="BI43" s="17"/>
      <c r="BJ43" s="42">
        <f>IF(AU48&gt;4,VLOOKUP(5,AU4:AW48,2,FALSE),"")</f>
      </c>
      <c r="BK43" s="43">
        <f>IF(AU48&gt;4,VLOOKUP(5,AU4:AW48,3,FALSE),"")</f>
      </c>
      <c r="BL43" s="42">
        <f t="shared" si="46"/>
      </c>
      <c r="BM43" s="62">
        <f t="shared" si="47"/>
      </c>
    </row>
    <row r="44" spans="1:65" ht="9.75" customHeight="1">
      <c r="A44" s="3"/>
      <c r="B44" s="5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44">
        <v>9</v>
      </c>
      <c r="Q44" s="46">
        <v>10</v>
      </c>
      <c r="R44" s="47">
        <f>IF($AT$52&gt;2,HLOOKUP($AT$52,$B$3:$Q$48,42,FALSE),0)</f>
        <v>0</v>
      </c>
      <c r="S44" s="48">
        <f>IF($AT$52&gt;2,HLOOKUP($AT$57,$B$3:$Q$48,42,FALSE),0)</f>
        <v>0</v>
      </c>
      <c r="T44" s="525">
        <f t="shared" si="19"/>
      </c>
      <c r="U44" s="526"/>
      <c r="V44" s="527">
        <f t="shared" si="20"/>
      </c>
      <c r="W44" s="527"/>
      <c r="X44" s="42"/>
      <c r="Y44" s="62"/>
      <c r="Z44" s="6">
        <f t="shared" si="21"/>
        <v>4</v>
      </c>
      <c r="AA44" s="49">
        <f t="shared" si="22"/>
      </c>
      <c r="AB44" s="50">
        <f t="shared" si="0"/>
      </c>
      <c r="AC44" s="6">
        <f t="shared" si="35"/>
        <v>4</v>
      </c>
      <c r="AD44" s="51">
        <f t="shared" si="1"/>
      </c>
      <c r="AE44" s="52">
        <f t="shared" si="2"/>
      </c>
      <c r="AF44" s="6">
        <f t="shared" si="23"/>
        <v>4</v>
      </c>
      <c r="AG44" s="49">
        <f t="shared" si="3"/>
      </c>
      <c r="AH44" s="50">
        <f t="shared" si="4"/>
      </c>
      <c r="AI44" s="6">
        <f t="shared" si="24"/>
        <v>4</v>
      </c>
      <c r="AJ44" s="51">
        <f t="shared" si="5"/>
      </c>
      <c r="AK44" s="52">
        <f t="shared" si="6"/>
      </c>
      <c r="AL44" s="6">
        <f t="shared" si="25"/>
        <v>4</v>
      </c>
      <c r="AM44" s="49">
        <f t="shared" si="7"/>
      </c>
      <c r="AN44" s="50">
        <f t="shared" si="8"/>
      </c>
      <c r="AO44" s="6">
        <f t="shared" si="26"/>
        <v>0</v>
      </c>
      <c r="AP44" s="51">
        <f t="shared" si="9"/>
      </c>
      <c r="AQ44" s="52">
        <f t="shared" si="10"/>
      </c>
      <c r="AR44" s="6">
        <f t="shared" si="27"/>
        <v>0</v>
      </c>
      <c r="AS44" s="49">
        <f t="shared" si="11"/>
      </c>
      <c r="AT44" s="50">
        <f t="shared" si="12"/>
      </c>
      <c r="AU44" s="6">
        <f t="shared" si="28"/>
        <v>0</v>
      </c>
      <c r="AV44" s="51">
        <f t="shared" si="13"/>
      </c>
      <c r="AW44" s="52">
        <f t="shared" si="14"/>
      </c>
      <c r="AX44" s="6">
        <f t="shared" si="29"/>
        <v>0</v>
      </c>
      <c r="AY44" s="49">
        <f t="shared" si="15"/>
      </c>
      <c r="AZ44" s="50">
        <f t="shared" si="16"/>
      </c>
      <c r="BA44" s="6">
        <f t="shared" si="30"/>
        <v>0</v>
      </c>
      <c r="BB44" s="51">
        <f t="shared" si="17"/>
      </c>
      <c r="BC44" s="53">
        <f t="shared" si="18"/>
      </c>
      <c r="BE44" s="42">
        <f>IF(AR48&gt;5,VLOOKUP(6,AR4:AT48,2,FALSE),"")</f>
      </c>
      <c r="BF44" s="43">
        <f>IF(AR48&gt;5,VLOOKUP(6,AR4:AT48,3,FALSE),"")</f>
      </c>
      <c r="BG44" s="42">
        <f t="shared" si="44"/>
      </c>
      <c r="BH44" s="62">
        <f t="shared" si="45"/>
      </c>
      <c r="BI44" s="17"/>
      <c r="BJ44" s="42">
        <f>IF(AU48&gt;5,VLOOKUP(6,AU4:AW48,2,FALSE),"")</f>
      </c>
      <c r="BK44" s="43">
        <f>IF(AU48&gt;5,VLOOKUP(6,AU4:AW48,3,FALSE),"")</f>
      </c>
      <c r="BL44" s="42">
        <f t="shared" si="46"/>
      </c>
      <c r="BM44" s="62">
        <f t="shared" si="47"/>
      </c>
    </row>
    <row r="45" spans="1:65" ht="9.75" customHeight="1">
      <c r="A45" s="3"/>
      <c r="B45" s="5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44">
        <v>7</v>
      </c>
      <c r="Q45" s="45">
        <v>8</v>
      </c>
      <c r="R45" s="47">
        <f>IF($AT$52&gt;2,HLOOKUP($AT$52,$B$3:$Q$48,43,FALSE),0)</f>
        <v>0</v>
      </c>
      <c r="S45" s="48">
        <f>IF($AT$52&gt;2,HLOOKUP($AT$57,$B$3:$Q$48,43,FALSE),0)</f>
        <v>0</v>
      </c>
      <c r="T45" s="525">
        <f t="shared" si="19"/>
      </c>
      <c r="U45" s="526"/>
      <c r="V45" s="527">
        <f t="shared" si="20"/>
      </c>
      <c r="W45" s="527"/>
      <c r="X45" s="42"/>
      <c r="Y45" s="62"/>
      <c r="Z45" s="6">
        <f t="shared" si="21"/>
        <v>4</v>
      </c>
      <c r="AA45" s="49">
        <f t="shared" si="22"/>
      </c>
      <c r="AB45" s="50">
        <f t="shared" si="0"/>
      </c>
      <c r="AC45" s="6">
        <f t="shared" si="35"/>
        <v>4</v>
      </c>
      <c r="AD45" s="51">
        <f t="shared" si="1"/>
      </c>
      <c r="AE45" s="52">
        <f t="shared" si="2"/>
      </c>
      <c r="AF45" s="6">
        <f t="shared" si="23"/>
        <v>4</v>
      </c>
      <c r="AG45" s="49">
        <f t="shared" si="3"/>
      </c>
      <c r="AH45" s="50">
        <f t="shared" si="4"/>
      </c>
      <c r="AI45" s="6">
        <f t="shared" si="24"/>
        <v>4</v>
      </c>
      <c r="AJ45" s="51">
        <f t="shared" si="5"/>
      </c>
      <c r="AK45" s="52">
        <f t="shared" si="6"/>
      </c>
      <c r="AL45" s="6">
        <f t="shared" si="25"/>
        <v>4</v>
      </c>
      <c r="AM45" s="49">
        <f t="shared" si="7"/>
      </c>
      <c r="AN45" s="50">
        <f t="shared" si="8"/>
      </c>
      <c r="AO45" s="6">
        <f t="shared" si="26"/>
        <v>0</v>
      </c>
      <c r="AP45" s="51">
        <f t="shared" si="9"/>
      </c>
      <c r="AQ45" s="52">
        <f t="shared" si="10"/>
      </c>
      <c r="AR45" s="6">
        <f t="shared" si="27"/>
        <v>0</v>
      </c>
      <c r="AS45" s="49">
        <f t="shared" si="11"/>
      </c>
      <c r="AT45" s="50">
        <f t="shared" si="12"/>
      </c>
      <c r="AU45" s="6">
        <f t="shared" si="28"/>
        <v>0</v>
      </c>
      <c r="AV45" s="51">
        <f t="shared" si="13"/>
      </c>
      <c r="AW45" s="52">
        <f t="shared" si="14"/>
      </c>
      <c r="AX45" s="6">
        <f t="shared" si="29"/>
        <v>0</v>
      </c>
      <c r="AY45" s="49">
        <f t="shared" si="15"/>
      </c>
      <c r="AZ45" s="50">
        <f t="shared" si="16"/>
      </c>
      <c r="BA45" s="6">
        <f t="shared" si="30"/>
        <v>0</v>
      </c>
      <c r="BB45" s="51">
        <f t="shared" si="17"/>
      </c>
      <c r="BC45" s="53">
        <f t="shared" si="18"/>
      </c>
      <c r="BE45" s="42">
        <f>IF(AR48&gt;6,VLOOKUP(7,AR4:AT48,2,FALSE),"")</f>
      </c>
      <c r="BF45" s="43">
        <f>IF(AR48&gt;6,VLOOKUP(7,AR4:AT48,3,FALSE),"")</f>
      </c>
      <c r="BG45" s="42">
        <f t="shared" si="44"/>
      </c>
      <c r="BH45" s="62">
        <f t="shared" si="45"/>
      </c>
      <c r="BI45" s="17"/>
      <c r="BJ45" s="42">
        <f>IF(AU48&gt;6,VLOOKUP(7,AU4:AW48,2,FALSE),"")</f>
      </c>
      <c r="BK45" s="43">
        <f>IF(AU48&gt;6,VLOOKUP(7,AU4:AW48,3,FALSE),"")</f>
      </c>
      <c r="BL45" s="42">
        <f t="shared" si="46"/>
      </c>
      <c r="BM45" s="62">
        <f t="shared" si="47"/>
      </c>
    </row>
    <row r="46" spans="1:65" ht="9.75" customHeight="1">
      <c r="A46" s="3"/>
      <c r="B46" s="5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44">
        <v>5</v>
      </c>
      <c r="Q46" s="45">
        <v>6</v>
      </c>
      <c r="R46" s="47">
        <f>IF($AT$52&gt;2,HLOOKUP($AT$52,$B$3:$Q$48,44,FALSE),0)</f>
        <v>0</v>
      </c>
      <c r="S46" s="48">
        <f>IF($AT$52&gt;2,HLOOKUP($AT$57,$B$3:$Q$48,44,FALSE),0)</f>
        <v>0</v>
      </c>
      <c r="T46" s="525">
        <f t="shared" si="19"/>
      </c>
      <c r="U46" s="526"/>
      <c r="V46" s="527">
        <f t="shared" si="20"/>
      </c>
      <c r="W46" s="527"/>
      <c r="X46" s="42"/>
      <c r="Y46" s="62"/>
      <c r="Z46" s="6">
        <f t="shared" si="21"/>
        <v>4</v>
      </c>
      <c r="AA46" s="49">
        <f t="shared" si="22"/>
      </c>
      <c r="AB46" s="50">
        <f t="shared" si="0"/>
      </c>
      <c r="AC46" s="6">
        <f t="shared" si="35"/>
        <v>4</v>
      </c>
      <c r="AD46" s="51">
        <f t="shared" si="1"/>
      </c>
      <c r="AE46" s="52">
        <f t="shared" si="2"/>
      </c>
      <c r="AF46" s="6">
        <f t="shared" si="23"/>
        <v>4</v>
      </c>
      <c r="AG46" s="49">
        <f t="shared" si="3"/>
      </c>
      <c r="AH46" s="50">
        <f t="shared" si="4"/>
      </c>
      <c r="AI46" s="6">
        <f t="shared" si="24"/>
        <v>4</v>
      </c>
      <c r="AJ46" s="51">
        <f t="shared" si="5"/>
      </c>
      <c r="AK46" s="52">
        <f t="shared" si="6"/>
      </c>
      <c r="AL46" s="6">
        <f t="shared" si="25"/>
        <v>4</v>
      </c>
      <c r="AM46" s="49">
        <f t="shared" si="7"/>
      </c>
      <c r="AN46" s="50">
        <f t="shared" si="8"/>
      </c>
      <c r="AO46" s="6">
        <f t="shared" si="26"/>
        <v>0</v>
      </c>
      <c r="AP46" s="51">
        <f t="shared" si="9"/>
      </c>
      <c r="AQ46" s="52">
        <f t="shared" si="10"/>
      </c>
      <c r="AR46" s="6">
        <f t="shared" si="27"/>
        <v>0</v>
      </c>
      <c r="AS46" s="49">
        <f t="shared" si="11"/>
      </c>
      <c r="AT46" s="50">
        <f t="shared" si="12"/>
      </c>
      <c r="AU46" s="6">
        <f t="shared" si="28"/>
        <v>0</v>
      </c>
      <c r="AV46" s="51">
        <f t="shared" si="13"/>
      </c>
      <c r="AW46" s="52">
        <f t="shared" si="14"/>
      </c>
      <c r="AX46" s="6">
        <f t="shared" si="29"/>
        <v>0</v>
      </c>
      <c r="AY46" s="49">
        <f t="shared" si="15"/>
      </c>
      <c r="AZ46" s="50">
        <f t="shared" si="16"/>
      </c>
      <c r="BA46" s="6">
        <f t="shared" si="30"/>
        <v>0</v>
      </c>
      <c r="BB46" s="51">
        <f t="shared" si="17"/>
      </c>
      <c r="BC46" s="53">
        <f t="shared" si="18"/>
      </c>
      <c r="BE46" s="42">
        <f>IF(AR48&gt;7,VLOOKUP(8,AR4:AT48,2,FALSE),"")</f>
      </c>
      <c r="BF46" s="43">
        <f>IF(AR48&gt;7,VLOOKUP(8,AR4:AT48,3,FALSE),"")</f>
      </c>
      <c r="BG46" s="42">
        <f t="shared" si="44"/>
      </c>
      <c r="BH46" s="62">
        <f t="shared" si="45"/>
      </c>
      <c r="BI46" s="17"/>
      <c r="BJ46" s="42">
        <f>IF(AU48&gt;7,VLOOKUP(8,AU4:AW48,2,FALSE),"")</f>
      </c>
      <c r="BK46" s="43">
        <f>IF(AU48&gt;7,VLOOKUP(8,AU4:AW48,3,FALSE),"")</f>
      </c>
      <c r="BL46" s="42">
        <f t="shared" si="46"/>
      </c>
      <c r="BM46" s="62">
        <f t="shared" si="47"/>
      </c>
    </row>
    <row r="47" spans="1:65" ht="9.75" customHeight="1" thickBot="1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4">
        <v>3</v>
      </c>
      <c r="Q47" s="45">
        <v>4</v>
      </c>
      <c r="R47" s="47">
        <f>IF($AT$52&gt;2,HLOOKUP($AT$52,$B$3:$Q$48,45,FALSE),0)</f>
        <v>0</v>
      </c>
      <c r="S47" s="48">
        <f>IF($AT$52&gt;2,HLOOKUP($AT$57,$B$3:$Q$48,45,FALSE),0)</f>
        <v>0</v>
      </c>
      <c r="T47" s="525">
        <f t="shared" si="19"/>
      </c>
      <c r="U47" s="526"/>
      <c r="V47" s="527">
        <f t="shared" si="20"/>
      </c>
      <c r="W47" s="527"/>
      <c r="X47" s="42"/>
      <c r="Y47" s="62"/>
      <c r="Z47" s="6">
        <f t="shared" si="21"/>
        <v>4</v>
      </c>
      <c r="AA47" s="49">
        <f t="shared" si="22"/>
      </c>
      <c r="AB47" s="50">
        <f t="shared" si="0"/>
      </c>
      <c r="AC47" s="6">
        <f t="shared" si="35"/>
        <v>4</v>
      </c>
      <c r="AD47" s="51">
        <f t="shared" si="1"/>
      </c>
      <c r="AE47" s="52">
        <f t="shared" si="2"/>
      </c>
      <c r="AF47" s="6">
        <f t="shared" si="23"/>
        <v>4</v>
      </c>
      <c r="AG47" s="49">
        <f t="shared" si="3"/>
      </c>
      <c r="AH47" s="50">
        <f t="shared" si="4"/>
      </c>
      <c r="AI47" s="6">
        <f t="shared" si="24"/>
        <v>4</v>
      </c>
      <c r="AJ47" s="51">
        <f t="shared" si="5"/>
      </c>
      <c r="AK47" s="52">
        <f t="shared" si="6"/>
      </c>
      <c r="AL47" s="6">
        <f t="shared" si="25"/>
        <v>4</v>
      </c>
      <c r="AM47" s="49">
        <f t="shared" si="7"/>
      </c>
      <c r="AN47" s="50">
        <f t="shared" si="8"/>
      </c>
      <c r="AO47" s="6">
        <f t="shared" si="26"/>
        <v>0</v>
      </c>
      <c r="AP47" s="51">
        <f t="shared" si="9"/>
      </c>
      <c r="AQ47" s="52">
        <f t="shared" si="10"/>
      </c>
      <c r="AR47" s="6">
        <f t="shared" si="27"/>
        <v>0</v>
      </c>
      <c r="AS47" s="49">
        <f t="shared" si="11"/>
      </c>
      <c r="AT47" s="50">
        <f t="shared" si="12"/>
      </c>
      <c r="AU47" s="6">
        <f t="shared" si="28"/>
        <v>0</v>
      </c>
      <c r="AV47" s="51">
        <f t="shared" si="13"/>
      </c>
      <c r="AW47" s="52">
        <f t="shared" si="14"/>
      </c>
      <c r="AX47" s="6">
        <f t="shared" si="29"/>
        <v>0</v>
      </c>
      <c r="AY47" s="49">
        <f t="shared" si="15"/>
      </c>
      <c r="AZ47" s="50">
        <f t="shared" si="16"/>
      </c>
      <c r="BA47" s="6">
        <f t="shared" si="30"/>
        <v>0</v>
      </c>
      <c r="BB47" s="51">
        <f t="shared" si="17"/>
      </c>
      <c r="BC47" s="53">
        <f t="shared" si="18"/>
      </c>
      <c r="BE47" s="57">
        <f>IF(AR48&gt;8,VLOOKUP(9,AR4:AT48,2,FALSE),"")</f>
      </c>
      <c r="BF47" s="58">
        <f>IF(AR48&gt;8,VLOOKUP(9,AR4:AT48,3,FALSE),"")</f>
      </c>
      <c r="BG47" s="42">
        <f t="shared" si="44"/>
      </c>
      <c r="BH47" s="62">
        <f t="shared" si="45"/>
      </c>
      <c r="BI47" s="17"/>
      <c r="BJ47" s="57">
        <f>IF(AU48&gt;8,VLOOKUP(9,AU4:AW48,2,FALSE),"")</f>
      </c>
      <c r="BK47" s="58">
        <f>IF(AU48&gt;8,VLOOKUP(9,AU4:AW48,3,FALSE),"")</f>
      </c>
      <c r="BL47" s="42">
        <f t="shared" si="46"/>
      </c>
      <c r="BM47" s="62">
        <f t="shared" si="47"/>
      </c>
    </row>
    <row r="48" spans="1:65" ht="9.75" customHeight="1" thickBot="1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v>1</v>
      </c>
      <c r="Q48" s="55">
        <v>2</v>
      </c>
      <c r="R48" s="63">
        <f>IF($AT$52&gt;2,HLOOKUP($AT$52,$B$3:$Q$48,46,FALSE),0)</f>
        <v>0</v>
      </c>
      <c r="S48" s="64">
        <f>IF($AT$52&gt;2,HLOOKUP($AT$57,$B$3:$Q$48,46,FALSE),0)</f>
        <v>0</v>
      </c>
      <c r="T48" s="514">
        <f t="shared" si="19"/>
      </c>
      <c r="U48" s="515"/>
      <c r="V48" s="516">
        <f t="shared" si="20"/>
      </c>
      <c r="W48" s="516"/>
      <c r="X48" s="65"/>
      <c r="Y48" s="66"/>
      <c r="Z48" s="9">
        <f t="shared" si="21"/>
        <v>4</v>
      </c>
      <c r="AA48" s="67">
        <f t="shared" si="22"/>
      </c>
      <c r="AB48" s="68">
        <f t="shared" si="0"/>
      </c>
      <c r="AC48" s="10">
        <f t="shared" si="35"/>
        <v>4</v>
      </c>
      <c r="AD48" s="69">
        <f t="shared" si="1"/>
      </c>
      <c r="AE48" s="70">
        <f t="shared" si="2"/>
      </c>
      <c r="AF48" s="10">
        <f t="shared" si="23"/>
        <v>4</v>
      </c>
      <c r="AG48" s="67">
        <f t="shared" si="3"/>
      </c>
      <c r="AH48" s="68">
        <f t="shared" si="4"/>
      </c>
      <c r="AI48" s="10">
        <f t="shared" si="24"/>
        <v>4</v>
      </c>
      <c r="AJ48" s="69">
        <f t="shared" si="5"/>
      </c>
      <c r="AK48" s="71">
        <f t="shared" si="6"/>
      </c>
      <c r="AL48" s="10">
        <f t="shared" si="25"/>
        <v>4</v>
      </c>
      <c r="AM48" s="67">
        <f t="shared" si="7"/>
      </c>
      <c r="AN48" s="68">
        <f t="shared" si="8"/>
      </c>
      <c r="AO48" s="10">
        <f t="shared" si="26"/>
        <v>0</v>
      </c>
      <c r="AP48" s="69">
        <f t="shared" si="9"/>
      </c>
      <c r="AQ48" s="71">
        <f t="shared" si="10"/>
      </c>
      <c r="AR48" s="10">
        <f t="shared" si="27"/>
        <v>0</v>
      </c>
      <c r="AS48" s="67">
        <f t="shared" si="11"/>
      </c>
      <c r="AT48" s="68">
        <f t="shared" si="12"/>
      </c>
      <c r="AU48" s="10">
        <f t="shared" si="28"/>
        <v>0</v>
      </c>
      <c r="AV48" s="69">
        <f t="shared" si="13"/>
      </c>
      <c r="AW48" s="71">
        <f t="shared" si="14"/>
      </c>
      <c r="AX48" s="11">
        <f t="shared" si="29"/>
        <v>0</v>
      </c>
      <c r="AY48" s="67">
        <f t="shared" si="15"/>
      </c>
      <c r="AZ48" s="68">
        <f t="shared" si="16"/>
      </c>
      <c r="BA48" s="11">
        <f t="shared" si="30"/>
        <v>0</v>
      </c>
      <c r="BB48" s="69">
        <f t="shared" si="17"/>
      </c>
      <c r="BC48" s="70">
        <f t="shared" si="18"/>
      </c>
      <c r="BE48" s="18">
        <f>IF(ISNUMBER(BE39),SUM(BE39:BE47),"")</f>
      </c>
      <c r="BF48" s="19">
        <f>IF(ISNUMBER(BF39),SUM(BF39:BF47),"")</f>
      </c>
      <c r="BG48" s="18">
        <f>IF(ISNUMBER(BG39),SUM(BG39:BG47),"")</f>
      </c>
      <c r="BH48" s="20">
        <f>IF(ISNUMBER(BH39),SUM(BH39:BH47),"")</f>
      </c>
      <c r="BI48" s="3"/>
      <c r="BJ48" s="18">
        <f>IF(ISNUMBER(BJ39),SUM(BJ39:BJ47),"")</f>
      </c>
      <c r="BK48" s="19">
        <f>IF(ISNUMBER(BK39),SUM(BK39:BK47),"")</f>
      </c>
      <c r="BL48" s="18">
        <f>IF(ISNUMBER(BL39),SUM(BL39:BL47),"")</f>
      </c>
      <c r="BM48" s="20">
        <f>IF(ISNUMBER(BM39),SUM(BM39:BM47),"")</f>
      </c>
    </row>
    <row r="49" spans="1:65" ht="9.75" customHeight="1" thickBot="1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72"/>
      <c r="Q49" s="72"/>
      <c r="R49" s="72"/>
      <c r="S49" s="72"/>
      <c r="T49" s="73"/>
      <c r="U49" s="73"/>
      <c r="V49" s="73"/>
      <c r="W49" s="7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9.75" customHeight="1" thickBot="1">
      <c r="A50" s="3"/>
      <c r="B50" s="501" t="s">
        <v>52</v>
      </c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05"/>
      <c r="N50" s="506" t="s">
        <v>66</v>
      </c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8"/>
      <c r="AE50" s="501" t="s">
        <v>53</v>
      </c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10"/>
      <c r="AR50" s="17"/>
      <c r="AS50" s="511" t="s">
        <v>54</v>
      </c>
      <c r="AT50" s="512"/>
      <c r="AU50" s="513"/>
      <c r="AW50" s="501" t="s">
        <v>55</v>
      </c>
      <c r="AX50" s="523"/>
      <c r="AY50" s="523"/>
      <c r="AZ50" s="523"/>
      <c r="BA50" s="523"/>
      <c r="BB50" s="523"/>
      <c r="BC50" s="524"/>
      <c r="BE50" s="498">
        <f>C60</f>
        <v>0</v>
      </c>
      <c r="BF50" s="499"/>
      <c r="BG50" s="499"/>
      <c r="BH50" s="500"/>
      <c r="BI50" s="17"/>
      <c r="BJ50" s="498">
        <f>C61</f>
        <v>0</v>
      </c>
      <c r="BK50" s="499"/>
      <c r="BL50" s="499"/>
      <c r="BM50" s="500"/>
    </row>
    <row r="51" spans="2:65" ht="9.75" customHeight="1" thickBot="1">
      <c r="B51" s="16" t="s">
        <v>56</v>
      </c>
      <c r="C51" s="501" t="s">
        <v>2</v>
      </c>
      <c r="D51" s="502"/>
      <c r="E51" s="502"/>
      <c r="F51" s="502"/>
      <c r="G51" s="502"/>
      <c r="H51" s="503"/>
      <c r="I51" s="489" t="s">
        <v>57</v>
      </c>
      <c r="J51" s="489"/>
      <c r="K51" s="504"/>
      <c r="L51" s="501" t="s">
        <v>12</v>
      </c>
      <c r="M51" s="505"/>
      <c r="N51" s="506" t="s">
        <v>57</v>
      </c>
      <c r="O51" s="507"/>
      <c r="P51" s="507"/>
      <c r="Q51" s="506" t="s">
        <v>12</v>
      </c>
      <c r="R51" s="508"/>
      <c r="S51" s="507" t="s">
        <v>2</v>
      </c>
      <c r="T51" s="507"/>
      <c r="U51" s="507"/>
      <c r="V51" s="517"/>
      <c r="W51" s="517"/>
      <c r="X51" s="517"/>
      <c r="Y51" s="81" t="s">
        <v>4</v>
      </c>
      <c r="Z51" s="82" t="s">
        <v>5</v>
      </c>
      <c r="AA51" s="81" t="s">
        <v>6</v>
      </c>
      <c r="AB51" s="83" t="s">
        <v>7</v>
      </c>
      <c r="AC51" s="498" t="s">
        <v>3</v>
      </c>
      <c r="AD51" s="499"/>
      <c r="AE51" s="501" t="s">
        <v>11</v>
      </c>
      <c r="AF51" s="518"/>
      <c r="AG51" s="505"/>
      <c r="AH51" s="501" t="s">
        <v>2</v>
      </c>
      <c r="AI51" s="528"/>
      <c r="AJ51" s="528"/>
      <c r="AK51" s="528"/>
      <c r="AL51" s="528"/>
      <c r="AM51" s="529"/>
      <c r="AN51" s="501" t="s">
        <v>9</v>
      </c>
      <c r="AO51" s="505"/>
      <c r="AP51" s="501" t="s">
        <v>10</v>
      </c>
      <c r="AQ51" s="505"/>
      <c r="AS51" s="530" t="s">
        <v>58</v>
      </c>
      <c r="AT51" s="531"/>
      <c r="AU51" s="532"/>
      <c r="AW51" s="519" t="s">
        <v>60</v>
      </c>
      <c r="AX51" s="520"/>
      <c r="AY51" s="520"/>
      <c r="AZ51" s="520"/>
      <c r="BA51" s="520"/>
      <c r="BB51" s="521">
        <v>0.001388888888888889</v>
      </c>
      <c r="BC51" s="522"/>
      <c r="BE51" s="27">
        <f>IF(AX48&gt;0,VLOOKUP(1,AX4:AZ48,2,FALSE),"")</f>
      </c>
      <c r="BF51" s="28">
        <f>IF(AX48&gt;0,VLOOKUP(1,AX4:AZ48,3,FALSE),"")</f>
      </c>
      <c r="BG51" s="27">
        <f>IF(ISNUMBER(BF51),IF(BE51=BF51,1,IF(BE51&gt;BF51,$BB$52,0)),"")</f>
      </c>
      <c r="BH51" s="89">
        <f>IF(ISNUMBER(BF51),IF(BE51=BF51,1,IF(BE51&lt;BF51,$BB$52,0)),"")</f>
      </c>
      <c r="BI51" s="17"/>
      <c r="BJ51" s="27">
        <f>IF(BA48&gt;0,VLOOKUP(1,BA4:BC48,2,FALSE),"")</f>
      </c>
      <c r="BK51" s="28">
        <f>IF(BA48&gt;0,VLOOKUP(1,BA4:BC48,3,FALSE),"")</f>
      </c>
      <c r="BL51" s="27">
        <f>IF(ISNUMBER(BK51),IF(BJ51=BK51,1,IF(BJ51&gt;BK51,$BB$52,0)),"")</f>
      </c>
      <c r="BM51" s="89">
        <f>IF(ISNUMBER(BK51),IF(BJ51=BK51,1,IF(BJ51&lt;BK51,$BB$52,0)),"")</f>
      </c>
    </row>
    <row r="52" spans="2:65" ht="9.75" customHeight="1">
      <c r="B52" s="29">
        <v>1</v>
      </c>
      <c r="C52" s="468" t="str">
        <f>REPT('Lizenz Nr.- Eingabe'!C15,1)</f>
        <v>RVS Obernfeld I</v>
      </c>
      <c r="D52" s="469"/>
      <c r="E52" s="469"/>
      <c r="F52" s="469"/>
      <c r="G52" s="469"/>
      <c r="H52" s="470"/>
      <c r="I52" s="493">
        <f>IF(AND(AT52&gt;2,ISNUMBER(BF12)),BG12*1000+((BE12-BF12)*10)+BE12,-10000.1)</f>
        <v>12190</v>
      </c>
      <c r="J52" s="493"/>
      <c r="K52" s="494"/>
      <c r="L52" s="460">
        <f>IF(I52&lt;&gt;-10000.1,RANK(I52,$I$52:$K$61,0),"")</f>
        <v>1</v>
      </c>
      <c r="M52" s="461"/>
      <c r="N52" s="495">
        <f>I52+0.1</f>
        <v>12190.1</v>
      </c>
      <c r="O52" s="496"/>
      <c r="P52" s="497"/>
      <c r="Q52" s="445">
        <f>RANK(N52,$N$52:$P$61,0)</f>
        <v>1</v>
      </c>
      <c r="R52" s="449"/>
      <c r="S52" s="450" t="str">
        <f>IF(I52&lt;&gt;-10000.1,C52,"")</f>
        <v>RVS Obernfeld I</v>
      </c>
      <c r="T52" s="450"/>
      <c r="U52" s="450"/>
      <c r="V52" s="451"/>
      <c r="W52" s="451"/>
      <c r="X52" s="451"/>
      <c r="Y52" s="7">
        <f>IF(I52&lt;&gt;-1000.1,BE12,"")</f>
        <v>20</v>
      </c>
      <c r="Z52" s="84" t="str">
        <f>REPT(BF12,1)</f>
        <v>3</v>
      </c>
      <c r="AA52" s="85" t="str">
        <f>REPT(BG12,1)</f>
        <v>12</v>
      </c>
      <c r="AB52" s="86" t="str">
        <f>REPT(BH12,1)</f>
        <v>0</v>
      </c>
      <c r="AC52" s="444">
        <f>COUNTIF($L$52:$M$61,B52)</f>
        <v>1</v>
      </c>
      <c r="AD52" s="445"/>
      <c r="AE52" s="490" t="s">
        <v>15</v>
      </c>
      <c r="AF52" s="491"/>
      <c r="AG52" s="492"/>
      <c r="AH52" s="435" t="str">
        <f>VLOOKUP(1,$Q$52:$AB$61,3,FALSE)</f>
        <v>RVS Obernfeld I</v>
      </c>
      <c r="AI52" s="436"/>
      <c r="AJ52" s="436"/>
      <c r="AK52" s="436"/>
      <c r="AL52" s="436"/>
      <c r="AM52" s="437"/>
      <c r="AN52" s="75">
        <f>VLOOKUP(1,$Q$52:$AB$61,9,FALSE)</f>
        <v>20</v>
      </c>
      <c r="AO52" s="76" t="str">
        <f>VLOOKUP(1,$Q$52:$AB$61,10,FALSE)</f>
        <v>3</v>
      </c>
      <c r="AP52" s="75" t="str">
        <f>VLOOKUP(1,$Q$52:$AB$61,11,FALSE)</f>
        <v>12</v>
      </c>
      <c r="AQ52" s="35" t="str">
        <f>VLOOKUP(1,$Q$52:$AB$61,12,FALSE)</f>
        <v>0</v>
      </c>
      <c r="AS52" s="77">
        <f>IF(OR(C52="",C52=" ",C52="  "),0,1)</f>
        <v>1</v>
      </c>
      <c r="AT52" s="428">
        <f>SUM(AS52:AS61)</f>
        <v>5</v>
      </c>
      <c r="AU52" s="429"/>
      <c r="AW52" s="481" t="s">
        <v>71</v>
      </c>
      <c r="AX52" s="482"/>
      <c r="AY52" s="482"/>
      <c r="AZ52" s="482"/>
      <c r="BA52" s="482"/>
      <c r="BB52" s="538">
        <f>'Lizenz Nr.- Eingabe'!AL3</f>
        <v>3</v>
      </c>
      <c r="BC52" s="539"/>
      <c r="BE52" s="42">
        <f>IF(AX48&gt;1,VLOOKUP(2,AX4:AZ48,2,FALSE),"")</f>
      </c>
      <c r="BF52" s="43">
        <f>IF(AX48&gt;1,VLOOKUP(2,AX4:AZ48,3,FALSE),"")</f>
      </c>
      <c r="BG52" s="42">
        <f>IF(ISNUMBER(BF52),IF(BE52=BF52,1,IF(BE52&gt;BF52,$BB$52,0)),"")</f>
      </c>
      <c r="BH52" s="62">
        <f>IF(ISNUMBER(BF52),IF(BE52=BF52,1,IF(BE52&lt;BF52,$BB$52,0)),"")</f>
      </c>
      <c r="BI52" s="17"/>
      <c r="BJ52" s="42">
        <f>IF(BA48&gt;1,VLOOKUP(2,BA4:BC48,2,FALSE),"")</f>
      </c>
      <c r="BK52" s="43">
        <f>IF(BA48&gt;1,VLOOKUP(2,BA4:BC48,3,FALSE),"")</f>
      </c>
      <c r="BL52" s="42">
        <f>IF(ISNUMBER(BK52),IF(BJ52=BK52,1,IF(BJ52&gt;BK52,$BB$52,0)),"")</f>
      </c>
      <c r="BM52" s="62">
        <f>IF(ISNUMBER(BK52),IF(BJ52=BK52,1,IF(BJ52&lt;BK52,$BB$52,0)),"")</f>
      </c>
    </row>
    <row r="53" spans="2:65" ht="9.75" customHeight="1">
      <c r="B53" s="42">
        <v>2</v>
      </c>
      <c r="C53" s="468" t="str">
        <f>REPT('Lizenz Nr.- Eingabe'!C17,1)</f>
        <v>RVM Bilshausen II</v>
      </c>
      <c r="D53" s="469"/>
      <c r="E53" s="469"/>
      <c r="F53" s="469"/>
      <c r="G53" s="469"/>
      <c r="H53" s="470"/>
      <c r="I53" s="458">
        <f>IF(AND(AT52&gt;2,ISNUMBER(BK12)),BL12*1000+((BJ12-BK12)*10)+BJ12,-10000.1)</f>
        <v>9136</v>
      </c>
      <c r="J53" s="458"/>
      <c r="K53" s="459"/>
      <c r="L53" s="460">
        <f aca="true" t="shared" si="48" ref="L53:L61">IF(I53&lt;&gt;-10000.1,RANK(I53,$I$52:$K$61,0),"")</f>
        <v>2</v>
      </c>
      <c r="M53" s="461"/>
      <c r="N53" s="462">
        <f>I53</f>
        <v>9136</v>
      </c>
      <c r="O53" s="463"/>
      <c r="P53" s="464"/>
      <c r="Q53" s="445">
        <f aca="true" t="shared" si="49" ref="Q53:Q61">RANK(N53,$N$52:$P$61,0)</f>
        <v>2</v>
      </c>
      <c r="R53" s="449"/>
      <c r="S53" s="450" t="str">
        <f aca="true" t="shared" si="50" ref="S53:S61">IF(I53&lt;&gt;-10000.1,C53,"")</f>
        <v>RVM Bilshausen II</v>
      </c>
      <c r="T53" s="450"/>
      <c r="U53" s="450"/>
      <c r="V53" s="451"/>
      <c r="W53" s="451"/>
      <c r="X53" s="451"/>
      <c r="Y53" s="7">
        <f>IF(I53&lt;&gt;-1000.1,BJ12,"")</f>
        <v>16</v>
      </c>
      <c r="Z53" s="87" t="str">
        <f>REPT(BK12,1)</f>
        <v>4</v>
      </c>
      <c r="AA53" s="51" t="str">
        <f>REPT(BL12,1)</f>
        <v>9</v>
      </c>
      <c r="AB53" s="53" t="str">
        <f>REPT(BM12,1)</f>
        <v>3</v>
      </c>
      <c r="AC53" s="444">
        <f aca="true" t="shared" si="51" ref="AC53:AC60">COUNTIF($L$52:$M$61,B53)</f>
        <v>1</v>
      </c>
      <c r="AD53" s="445"/>
      <c r="AE53" s="465" t="str">
        <f>IF(AND($AT$52&gt;1,ISNUMBER(AN53)),IF(AC53&gt;0,"2.",AE52),"2.")</f>
        <v>2.</v>
      </c>
      <c r="AF53" s="466"/>
      <c r="AG53" s="467"/>
      <c r="AH53" s="435" t="str">
        <f>VLOOKUP(2,$Q$52:$AB$61,3,FALSE)</f>
        <v>RVM Bilshausen II</v>
      </c>
      <c r="AI53" s="436"/>
      <c r="AJ53" s="436"/>
      <c r="AK53" s="436"/>
      <c r="AL53" s="436"/>
      <c r="AM53" s="437"/>
      <c r="AN53" s="75">
        <f>VLOOKUP(2,$Q$52:$AB$61,9,FALSE)</f>
        <v>16</v>
      </c>
      <c r="AO53" s="76" t="str">
        <f>VLOOKUP(2,$Q$52:$AB$61,10,FALSE)</f>
        <v>4</v>
      </c>
      <c r="AP53" s="75" t="str">
        <f>VLOOKUP(2,$Q$52:$AB$61,11,FALSE)</f>
        <v>9</v>
      </c>
      <c r="AQ53" s="35" t="str">
        <f>VLOOKUP(2,$Q$52:$AB$61,12,FALSE)</f>
        <v>3</v>
      </c>
      <c r="AS53" s="77">
        <f aca="true" t="shared" si="52" ref="AS53:AS61">IF(OR(C53="",C53=" ",C53="  "),0,1)</f>
        <v>1</v>
      </c>
      <c r="AT53" s="428"/>
      <c r="AU53" s="429"/>
      <c r="AW53" s="12"/>
      <c r="AX53" s="2"/>
      <c r="AY53" s="2"/>
      <c r="AZ53" s="2"/>
      <c r="BA53" s="2"/>
      <c r="BB53" s="2"/>
      <c r="BC53" s="13"/>
      <c r="BE53" s="42">
        <f>IF(AX48&gt;2,VLOOKUP(3,AX4:AZ48,2,FALSE),"")</f>
      </c>
      <c r="BF53" s="43">
        <f>IF(AX48&gt;2,VLOOKUP(3,AX4:AZ48,3,FALSE),"")</f>
      </c>
      <c r="BG53" s="42">
        <f aca="true" t="shared" si="53" ref="BG53:BG59">IF(ISNUMBER(BF53),IF(BE53=BF53,1,IF(BE53&gt;BF53,$BB$52,0)),"")</f>
      </c>
      <c r="BH53" s="62">
        <f aca="true" t="shared" si="54" ref="BH53:BH59">IF(ISNUMBER(BF53),IF(BE53=BF53,1,IF(BE53&lt;BF53,$BB$52,0)),"")</f>
      </c>
      <c r="BI53" s="17"/>
      <c r="BJ53" s="42">
        <f>IF(BA48&gt;2,VLOOKUP(3,BA4:BC48,2,FALSE),"")</f>
      </c>
      <c r="BK53" s="43">
        <f>IF(BA48&gt;2,VLOOKUP(3,BA4:BC48,3,FALSE),"")</f>
      </c>
      <c r="BL53" s="42">
        <f aca="true" t="shared" si="55" ref="BL53:BL59">IF(ISNUMBER(BK53),IF(BJ53=BK53,1,IF(BJ53&gt;BK53,$BB$52,0)),"")</f>
      </c>
      <c r="BM53" s="62">
        <f aca="true" t="shared" si="56" ref="BM53:BM58">IF(ISNUMBER(BK53),IF(BJ53=BK53,1,IF(BJ53&lt;BK53,$BB$52,0)),"")</f>
      </c>
    </row>
    <row r="54" spans="2:65" ht="9.75" customHeight="1" thickBot="1">
      <c r="B54" s="42">
        <v>3</v>
      </c>
      <c r="C54" s="468" t="str">
        <f>REPT('Lizenz Nr.- Eingabe'!C19,1)</f>
        <v>RSVL Gifhorn I</v>
      </c>
      <c r="D54" s="469"/>
      <c r="E54" s="469"/>
      <c r="F54" s="469"/>
      <c r="G54" s="469"/>
      <c r="H54" s="470"/>
      <c r="I54" s="458">
        <f>IF(AND(AT52&gt;2,ISNUMBER(BF24)),BG24*1000+((BE24-BF24)*10)+BE24,-10000.1)</f>
        <v>2943</v>
      </c>
      <c r="J54" s="458"/>
      <c r="K54" s="459"/>
      <c r="L54" s="460">
        <f t="shared" si="48"/>
        <v>4</v>
      </c>
      <c r="M54" s="461"/>
      <c r="N54" s="462">
        <f>I54-0.1</f>
        <v>2942.9</v>
      </c>
      <c r="O54" s="463"/>
      <c r="P54" s="464"/>
      <c r="Q54" s="445">
        <f t="shared" si="49"/>
        <v>4</v>
      </c>
      <c r="R54" s="449"/>
      <c r="S54" s="450" t="str">
        <f t="shared" si="50"/>
        <v>RSVL Gifhorn I</v>
      </c>
      <c r="T54" s="450"/>
      <c r="U54" s="450"/>
      <c r="V54" s="451"/>
      <c r="W54" s="451"/>
      <c r="X54" s="451"/>
      <c r="Y54" s="7">
        <f>IF(I54&lt;&gt;-1000.1,BE24,"")</f>
        <v>3</v>
      </c>
      <c r="Z54" s="87" t="str">
        <f>REPT(BF24,1)</f>
        <v>9</v>
      </c>
      <c r="AA54" s="51" t="str">
        <f>REPT(BG24,1)</f>
        <v>3</v>
      </c>
      <c r="AB54" s="53" t="str">
        <f>REPT(BH24,1)</f>
        <v>9</v>
      </c>
      <c r="AC54" s="444">
        <f t="shared" si="51"/>
        <v>1</v>
      </c>
      <c r="AD54" s="445"/>
      <c r="AE54" s="465" t="str">
        <f>IF(AND($AT$52&gt;2,ISNUMBER(AN54)),IF(AC54&gt;0,"3.",AE53),"3.")</f>
        <v>3.</v>
      </c>
      <c r="AF54" s="466"/>
      <c r="AG54" s="467"/>
      <c r="AH54" s="435" t="str">
        <f>VLOOKUP(3,$Q$52:$AB$61,3,FALSE)</f>
        <v>RVS Obernfeld II</v>
      </c>
      <c r="AI54" s="436"/>
      <c r="AJ54" s="436"/>
      <c r="AK54" s="436"/>
      <c r="AL54" s="436"/>
      <c r="AM54" s="437"/>
      <c r="AN54" s="75">
        <f>VLOOKUP(3,$Q$52:$AB$61,9,FALSE)</f>
        <v>10</v>
      </c>
      <c r="AO54" s="76" t="str">
        <f>VLOOKUP(3,$Q$52:$AB$61,10,FALSE)</f>
        <v>7</v>
      </c>
      <c r="AP54" s="75" t="str">
        <f>VLOOKUP(3,$Q$52:$AB$61,11,FALSE)</f>
        <v>6</v>
      </c>
      <c r="AQ54" s="35" t="str">
        <f>VLOOKUP(3,$Q$52:$AB$61,12,FALSE)</f>
        <v>6</v>
      </c>
      <c r="AS54" s="77">
        <f t="shared" si="52"/>
        <v>1</v>
      </c>
      <c r="AT54" s="428"/>
      <c r="AU54" s="429"/>
      <c r="AW54" s="12"/>
      <c r="AX54" s="2"/>
      <c r="AY54" s="2"/>
      <c r="AZ54" s="2"/>
      <c r="BA54" s="2"/>
      <c r="BB54" s="2"/>
      <c r="BC54" s="13"/>
      <c r="BE54" s="42">
        <f>IF(AX48&gt;3,VLOOKUP(4,AX4:AZ48,2,FALSE),"")</f>
      </c>
      <c r="BF54" s="43">
        <f>IF(AX48&gt;3,VLOOKUP(4,AX4:AZ48,3,FALSE),"")</f>
      </c>
      <c r="BG54" s="42">
        <f t="shared" si="53"/>
      </c>
      <c r="BH54" s="62">
        <f t="shared" si="54"/>
      </c>
      <c r="BI54" s="17"/>
      <c r="BJ54" s="42">
        <f>IF(BA48&gt;3,VLOOKUP(4,BA4:BC48,2,FALSE),"")</f>
      </c>
      <c r="BK54" s="43">
        <f>IF(BA48&gt;3,VLOOKUP(4,BA4:BC48,3,FALSE),"")</f>
      </c>
      <c r="BL54" s="42">
        <f t="shared" si="55"/>
      </c>
      <c r="BM54" s="62">
        <f t="shared" si="56"/>
      </c>
    </row>
    <row r="55" spans="2:65" ht="9.75" customHeight="1" thickBot="1">
      <c r="B55" s="42">
        <v>4</v>
      </c>
      <c r="C55" s="468" t="str">
        <f>REPT('Lizenz Nr.- Eingabe'!C21,1)</f>
        <v>RCG Hahndorf I</v>
      </c>
      <c r="D55" s="469"/>
      <c r="E55" s="469"/>
      <c r="F55" s="469"/>
      <c r="G55" s="469"/>
      <c r="H55" s="470"/>
      <c r="I55" s="458">
        <f>IF(AND(AT52&gt;3,ISNUMBER(BK24)),BL24*1000+((BJ24-BK24)*10)+BJ24,-10000.1)</f>
        <v>-260</v>
      </c>
      <c r="J55" s="458"/>
      <c r="K55" s="459"/>
      <c r="L55" s="460">
        <f t="shared" si="48"/>
        <v>5</v>
      </c>
      <c r="M55" s="461"/>
      <c r="N55" s="462">
        <f>I55-0.2</f>
        <v>-260.2</v>
      </c>
      <c r="O55" s="463"/>
      <c r="P55" s="464"/>
      <c r="Q55" s="445">
        <f t="shared" si="49"/>
        <v>5</v>
      </c>
      <c r="R55" s="449"/>
      <c r="S55" s="450" t="str">
        <f t="shared" si="50"/>
        <v>RCG Hahndorf I</v>
      </c>
      <c r="T55" s="450"/>
      <c r="U55" s="450"/>
      <c r="V55" s="451"/>
      <c r="W55" s="451"/>
      <c r="X55" s="451"/>
      <c r="Y55" s="7">
        <f>IF(I55&lt;&gt;-1000.1,BJ24,"")</f>
        <v>0</v>
      </c>
      <c r="Z55" s="87" t="str">
        <f>REPT(BK24,1)</f>
        <v>26</v>
      </c>
      <c r="AA55" s="51" t="str">
        <f>REPT(BL24,1)</f>
        <v>0</v>
      </c>
      <c r="AB55" s="53" t="str">
        <f>REPT(BM24,1)</f>
        <v>12</v>
      </c>
      <c r="AC55" s="444">
        <f t="shared" si="51"/>
        <v>1</v>
      </c>
      <c r="AD55" s="445"/>
      <c r="AE55" s="465" t="str">
        <f>IF(AND($AT$52&gt;3,ISNUMBER(AN55)),IF(AC55&gt;0,"4.",AE54),"4.")</f>
        <v>4.</v>
      </c>
      <c r="AF55" s="466"/>
      <c r="AG55" s="467"/>
      <c r="AH55" s="435" t="str">
        <f>VLOOKUP(4,$Q$52:$AB$61,3,FALSE)</f>
        <v>RSVL Gifhorn I</v>
      </c>
      <c r="AI55" s="436"/>
      <c r="AJ55" s="436"/>
      <c r="AK55" s="436"/>
      <c r="AL55" s="436"/>
      <c r="AM55" s="437"/>
      <c r="AN55" s="75">
        <f>VLOOKUP(4,$Q$52:$AB$61,9,FALSE)</f>
        <v>3</v>
      </c>
      <c r="AO55" s="76" t="str">
        <f>VLOOKUP(4,$Q$52:$AB$61,10,FALSE)</f>
        <v>9</v>
      </c>
      <c r="AP55" s="75" t="str">
        <f>VLOOKUP(4,$Q$52:$AB$61,11,FALSE)</f>
        <v>3</v>
      </c>
      <c r="AQ55" s="35" t="str">
        <f>VLOOKUP(4,$Q$52:$AB$61,12,FALSE)</f>
        <v>9</v>
      </c>
      <c r="AS55" s="77">
        <f t="shared" si="52"/>
        <v>1</v>
      </c>
      <c r="AT55" s="428"/>
      <c r="AU55" s="429"/>
      <c r="AW55" s="485" t="s">
        <v>59</v>
      </c>
      <c r="AX55" s="486"/>
      <c r="AY55" s="486"/>
      <c r="AZ55" s="486"/>
      <c r="BA55" s="486"/>
      <c r="BB55" s="486"/>
      <c r="BC55" s="487"/>
      <c r="BE55" s="42">
        <f>IF(AX48&gt;4,VLOOKUP(5,AX4:AZ48,2,FALSE),"")</f>
      </c>
      <c r="BF55" s="43">
        <f>IF(AX48&gt;4,VLOOKUP(5,AX4:AZ48,3,FALSE),"")</f>
      </c>
      <c r="BG55" s="42">
        <f t="shared" si="53"/>
      </c>
      <c r="BH55" s="62">
        <f t="shared" si="54"/>
      </c>
      <c r="BI55" s="17"/>
      <c r="BJ55" s="42">
        <f>IF(BA48&gt;4,VLOOKUP(5,BA4:BC48,2,FALSE),"")</f>
      </c>
      <c r="BK55" s="43">
        <f>IF(BA48&gt;4,VLOOKUP(5,BA4:BC48,3,FALSE),"")</f>
      </c>
      <c r="BL55" s="42">
        <f t="shared" si="55"/>
      </c>
      <c r="BM55" s="62">
        <f t="shared" si="56"/>
      </c>
    </row>
    <row r="56" spans="2:65" ht="9.75" customHeight="1" thickBot="1">
      <c r="B56" s="42">
        <v>5</v>
      </c>
      <c r="C56" s="468" t="str">
        <f>REPT('Lizenz Nr.- Eingabe'!C23,1)</f>
        <v>RVS Obernfeld II</v>
      </c>
      <c r="D56" s="469"/>
      <c r="E56" s="469"/>
      <c r="F56" s="469"/>
      <c r="G56" s="469"/>
      <c r="H56" s="470"/>
      <c r="I56" s="458">
        <f>IF(AND(AT52&gt;4,ISNUMBER(BF36)),BG36*1000+((BE36-BF36)*10)+BE36,-10000.1)</f>
        <v>6040</v>
      </c>
      <c r="J56" s="458"/>
      <c r="K56" s="459"/>
      <c r="L56" s="460">
        <f t="shared" si="48"/>
        <v>3</v>
      </c>
      <c r="M56" s="461"/>
      <c r="N56" s="462">
        <f>I56-0.3</f>
        <v>6039.7</v>
      </c>
      <c r="O56" s="463"/>
      <c r="P56" s="464"/>
      <c r="Q56" s="445">
        <f t="shared" si="49"/>
        <v>3</v>
      </c>
      <c r="R56" s="449"/>
      <c r="S56" s="450" t="str">
        <f t="shared" si="50"/>
        <v>RVS Obernfeld II</v>
      </c>
      <c r="T56" s="450"/>
      <c r="U56" s="450"/>
      <c r="V56" s="451"/>
      <c r="W56" s="451"/>
      <c r="X56" s="451"/>
      <c r="Y56" s="7">
        <f>IF(I56&lt;&gt;-1000.1,BE36,"")</f>
        <v>10</v>
      </c>
      <c r="Z56" s="87" t="str">
        <f>REPT(BF36,1)</f>
        <v>7</v>
      </c>
      <c r="AA56" s="51" t="str">
        <f>REPT(BG36,1)</f>
        <v>6</v>
      </c>
      <c r="AB56" s="53" t="str">
        <f>REPT(BH36,1)</f>
        <v>6</v>
      </c>
      <c r="AC56" s="444">
        <f>COUNTIF($L$52:$M$61,B56)</f>
        <v>1</v>
      </c>
      <c r="AD56" s="445"/>
      <c r="AE56" s="465" t="str">
        <f>IF(AND($AT$52&gt;4,ISNUMBER(AN56)),IF(AC56&gt;0,"5.",AE55),"5.")</f>
        <v>5.</v>
      </c>
      <c r="AF56" s="466"/>
      <c r="AG56" s="467"/>
      <c r="AH56" s="435" t="str">
        <f>VLOOKUP(5,$Q$52:$AB$61,3,FALSE)</f>
        <v>RCG Hahndorf I</v>
      </c>
      <c r="AI56" s="436"/>
      <c r="AJ56" s="436"/>
      <c r="AK56" s="436"/>
      <c r="AL56" s="436"/>
      <c r="AM56" s="437"/>
      <c r="AN56" s="75">
        <f>VLOOKUP(5,$Q$52:$AB$61,9,FALSE)</f>
        <v>0</v>
      </c>
      <c r="AO56" s="76" t="str">
        <f>VLOOKUP(5,$Q$52:$AB$61,10,FALSE)</f>
        <v>26</v>
      </c>
      <c r="AP56" s="75" t="str">
        <f>VLOOKUP(5,$Q$52:$AB$61,11,FALSE)</f>
        <v>0</v>
      </c>
      <c r="AQ56" s="35" t="str">
        <f>VLOOKUP(5,$Q$52:$AB$61,12,FALSE)</f>
        <v>12</v>
      </c>
      <c r="AS56" s="77">
        <f t="shared" si="52"/>
        <v>1</v>
      </c>
      <c r="AT56" s="430"/>
      <c r="AU56" s="431"/>
      <c r="AW56" s="488" t="s">
        <v>62</v>
      </c>
      <c r="AX56" s="489"/>
      <c r="AY56" s="489"/>
      <c r="AZ56" s="489"/>
      <c r="BA56" s="489"/>
      <c r="BB56" s="483"/>
      <c r="BC56" s="484"/>
      <c r="BE56" s="42">
        <f>IF(AX48&gt;5,VLOOKUP(6,AX4:AZ48,2,FALSE),"")</f>
      </c>
      <c r="BF56" s="43">
        <f>IF(AX48&gt;5,VLOOKUP(6,AX4:AZ48,3,FALSE),"")</f>
      </c>
      <c r="BG56" s="42">
        <f t="shared" si="53"/>
      </c>
      <c r="BH56" s="62">
        <f t="shared" si="54"/>
      </c>
      <c r="BI56" s="17"/>
      <c r="BJ56" s="42">
        <f>IF(BA48&gt;5,VLOOKUP(6,BA4:BC48,2,FALSE),"")</f>
      </c>
      <c r="BK56" s="43">
        <f>IF(BA48&gt;5,VLOOKUP(6,BA4:BC48,3,FALSE),"")</f>
      </c>
      <c r="BL56" s="42">
        <f t="shared" si="55"/>
      </c>
      <c r="BM56" s="62">
        <f t="shared" si="56"/>
      </c>
    </row>
    <row r="57" spans="2:65" ht="9.75" customHeight="1">
      <c r="B57" s="42">
        <v>6</v>
      </c>
      <c r="C57" s="468">
        <f>REPT('Lizenz Nr.- Eingabe'!C25,1)</f>
      </c>
      <c r="D57" s="469"/>
      <c r="E57" s="469"/>
      <c r="F57" s="469"/>
      <c r="G57" s="469"/>
      <c r="H57" s="470"/>
      <c r="I57" s="458">
        <f>IF(AND(AT52&gt;5,ISNUMBER(BK36)),BL36*1000+((BJ36-BK36)*10)+BJ36,-10000.1)</f>
        <v>-10000.1</v>
      </c>
      <c r="J57" s="458"/>
      <c r="K57" s="459"/>
      <c r="L57" s="460">
        <f t="shared" si="48"/>
      </c>
      <c r="M57" s="461"/>
      <c r="N57" s="462">
        <f>I57-0.4</f>
        <v>-10000.5</v>
      </c>
      <c r="O57" s="463"/>
      <c r="P57" s="464"/>
      <c r="Q57" s="445">
        <f t="shared" si="49"/>
        <v>6</v>
      </c>
      <c r="R57" s="449"/>
      <c r="S57" s="450">
        <f t="shared" si="50"/>
      </c>
      <c r="T57" s="450"/>
      <c r="U57" s="450"/>
      <c r="V57" s="451"/>
      <c r="W57" s="451"/>
      <c r="X57" s="451"/>
      <c r="Y57" s="7">
        <f>IF(I57&lt;&gt;-1000.1,BJ36,"")</f>
      </c>
      <c r="Z57" s="87">
        <f>REPT(BK36,1)</f>
      </c>
      <c r="AA57" s="51">
        <f>REPT(BL36,1)</f>
      </c>
      <c r="AB57" s="53">
        <f>REPT(BM36,1)</f>
      </c>
      <c r="AC57" s="444">
        <f t="shared" si="51"/>
        <v>0</v>
      </c>
      <c r="AD57" s="445"/>
      <c r="AE57" s="465" t="str">
        <f>IF(AND($AT$52&gt;5,ISNUMBER(AN57)),IF(AC57&gt;0,"6.",AE56),"6.")</f>
        <v>6.</v>
      </c>
      <c r="AF57" s="466"/>
      <c r="AG57" s="467"/>
      <c r="AH57" s="435">
        <f>VLOOKUP(6,$Q$52:$AB$61,3,FALSE)</f>
      </c>
      <c r="AI57" s="436"/>
      <c r="AJ57" s="436"/>
      <c r="AK57" s="436"/>
      <c r="AL57" s="436"/>
      <c r="AM57" s="437"/>
      <c r="AN57" s="75">
        <f>VLOOKUP(6,$Q$52:$AB$61,9,FALSE)</f>
      </c>
      <c r="AO57" s="76">
        <f>VLOOKUP(6,$Q$52:$AB$61,10,FALSE)</f>
      </c>
      <c r="AP57" s="75">
        <f>VLOOKUP(6,$Q$52:$AB$61,11,FALSE)</f>
      </c>
      <c r="AQ57" s="35">
        <f>VLOOKUP(6,$Q$52:$AB$61,12,FALSE)</f>
      </c>
      <c r="AS57" s="77">
        <f>IF(OR(C57="",C57=" ",C57="  "),0,1)</f>
        <v>0</v>
      </c>
      <c r="AT57" s="426">
        <f>AT52*10</f>
        <v>50</v>
      </c>
      <c r="AU57" s="427"/>
      <c r="AW57" s="432" t="s">
        <v>61</v>
      </c>
      <c r="AX57" s="433"/>
      <c r="AY57" s="433"/>
      <c r="AZ57" s="433"/>
      <c r="BA57" s="433"/>
      <c r="BB57" s="433">
        <f>(AT52-1)*AT52/2</f>
        <v>10</v>
      </c>
      <c r="BC57" s="434"/>
      <c r="BE57" s="42">
        <f>IF(AX48&gt;6,VLOOKUP(7,AX4:AZ48,2,FALSE),"")</f>
      </c>
      <c r="BF57" s="43">
        <f>IF(AX48&gt;6,VLOOKUP(7,AX4:AZ48,3,FALSE),"")</f>
      </c>
      <c r="BG57" s="42">
        <f t="shared" si="53"/>
      </c>
      <c r="BH57" s="62">
        <f t="shared" si="54"/>
      </c>
      <c r="BI57" s="17"/>
      <c r="BJ57" s="42">
        <f>IF(BA48&gt;6,VLOOKUP(7,BA4:BC48,2,FALSE),"")</f>
      </c>
      <c r="BK57" s="43">
        <f>IF(BA48&gt;6,VLOOKUP(7,BA4:BC48,3,FALSE),"")</f>
      </c>
      <c r="BL57" s="42">
        <f t="shared" si="55"/>
      </c>
      <c r="BM57" s="62">
        <f t="shared" si="56"/>
      </c>
    </row>
    <row r="58" spans="2:65" ht="9.75" customHeight="1">
      <c r="B58" s="42">
        <v>7</v>
      </c>
      <c r="C58" s="468">
        <f>REPT('Lizenz Nr.- Eingabe'!C27,1)</f>
      </c>
      <c r="D58" s="469"/>
      <c r="E58" s="469"/>
      <c r="F58" s="469"/>
      <c r="G58" s="469"/>
      <c r="H58" s="470"/>
      <c r="I58" s="458">
        <f>IF(AND(AT52&gt;6,ISNUMBER(BF48)),BG48*1000+((BE48-BF48)*10)+BE48,-10000.1)</f>
        <v>-10000.1</v>
      </c>
      <c r="J58" s="458"/>
      <c r="K58" s="459"/>
      <c r="L58" s="460">
        <f t="shared" si="48"/>
      </c>
      <c r="M58" s="461"/>
      <c r="N58" s="462">
        <f>I58-0.5</f>
        <v>-10000.6</v>
      </c>
      <c r="O58" s="463"/>
      <c r="P58" s="464"/>
      <c r="Q58" s="445">
        <f t="shared" si="49"/>
        <v>7</v>
      </c>
      <c r="R58" s="449"/>
      <c r="S58" s="450">
        <f t="shared" si="50"/>
      </c>
      <c r="T58" s="450"/>
      <c r="U58" s="450"/>
      <c r="V58" s="451"/>
      <c r="W58" s="451"/>
      <c r="X58" s="451"/>
      <c r="Y58" s="7">
        <f>IF(I58&lt;&gt;-1000.1,BE48,"")</f>
      </c>
      <c r="Z58" s="87">
        <f>REPT(BF48,1)</f>
      </c>
      <c r="AA58" s="51">
        <f>REPT(BG48,1)</f>
      </c>
      <c r="AB58" s="53">
        <f>REPT(BH48,1)</f>
      </c>
      <c r="AC58" s="444">
        <f t="shared" si="51"/>
        <v>0</v>
      </c>
      <c r="AD58" s="445"/>
      <c r="AE58" s="465" t="str">
        <f>IF(AND($AT$52&gt;6,ISNUMBER(AN58)),IF(AC58&gt;0,"7.",AE57),"7.")</f>
        <v>7.</v>
      </c>
      <c r="AF58" s="466"/>
      <c r="AG58" s="467"/>
      <c r="AH58" s="435">
        <f>VLOOKUP(7,$Q$52:$AB$61,3,FALSE)</f>
      </c>
      <c r="AI58" s="436"/>
      <c r="AJ58" s="436"/>
      <c r="AK58" s="436"/>
      <c r="AL58" s="436"/>
      <c r="AM58" s="437"/>
      <c r="AN58" s="75">
        <f>VLOOKUP(7,$Q$52:$AB$61,9,FALSE)</f>
      </c>
      <c r="AO58" s="76">
        <f>VLOOKUP(7,$Q$52:$AB$61,10,FALSE)</f>
      </c>
      <c r="AP58" s="75">
        <f>VLOOKUP(7,$Q$52:$AB$61,11,FALSE)</f>
      </c>
      <c r="AQ58" s="35">
        <f>VLOOKUP(7,$Q$52:$AB$61,12,FALSE)</f>
      </c>
      <c r="AS58" s="77">
        <f t="shared" si="52"/>
        <v>0</v>
      </c>
      <c r="AT58" s="428"/>
      <c r="AU58" s="429"/>
      <c r="AW58" s="438" t="s">
        <v>60</v>
      </c>
      <c r="AX58" s="439"/>
      <c r="AY58" s="439"/>
      <c r="AZ58" s="439"/>
      <c r="BA58" s="439"/>
      <c r="BB58" s="440">
        <f>BB51</f>
        <v>0.001388888888888889</v>
      </c>
      <c r="BC58" s="441"/>
      <c r="BE58" s="42">
        <f>IF(AX48&gt;7,VLOOKUP(8,AX4:AZ48,2,FALSE),"")</f>
      </c>
      <c r="BF58" s="43">
        <f>IF(AX48&gt;7,VLOOKUP(8,AX4:AZ48,3,FALSE),"")</f>
      </c>
      <c r="BG58" s="42">
        <f t="shared" si="53"/>
      </c>
      <c r="BH58" s="62">
        <f t="shared" si="54"/>
      </c>
      <c r="BI58" s="17"/>
      <c r="BJ58" s="42">
        <f>IF(BA48&gt;7,VLOOKUP(8,BA4:BC48,2,FALSE),"")</f>
      </c>
      <c r="BK58" s="43">
        <f>IF(BA48&gt;7,VLOOKUP(8,BA4:BC48,3,FALSE),"")</f>
      </c>
      <c r="BL58" s="42">
        <f t="shared" si="55"/>
      </c>
      <c r="BM58" s="62">
        <f t="shared" si="56"/>
      </c>
    </row>
    <row r="59" spans="2:65" ht="9.75" customHeight="1" thickBot="1">
      <c r="B59" s="42">
        <v>8</v>
      </c>
      <c r="C59" s="468">
        <f>REPT('Lizenz Nr.- Eingabe'!C29,1)</f>
      </c>
      <c r="D59" s="469"/>
      <c r="E59" s="469"/>
      <c r="F59" s="469"/>
      <c r="G59" s="469"/>
      <c r="H59" s="470"/>
      <c r="I59" s="458">
        <f>IF(AND(AT52&gt;7,ISNUMBER(BK48)),BL48*1000+((BJ48-BK48)*10)+BJ48,-10000.1)</f>
        <v>-10000.1</v>
      </c>
      <c r="J59" s="458"/>
      <c r="K59" s="459"/>
      <c r="L59" s="460">
        <f t="shared" si="48"/>
      </c>
      <c r="M59" s="461"/>
      <c r="N59" s="462">
        <f>I59-0.6</f>
        <v>-10000.7</v>
      </c>
      <c r="O59" s="463"/>
      <c r="P59" s="464"/>
      <c r="Q59" s="445">
        <f t="shared" si="49"/>
        <v>8</v>
      </c>
      <c r="R59" s="449"/>
      <c r="S59" s="450">
        <f t="shared" si="50"/>
      </c>
      <c r="T59" s="450"/>
      <c r="U59" s="450"/>
      <c r="V59" s="451"/>
      <c r="W59" s="451"/>
      <c r="X59" s="451"/>
      <c r="Y59" s="7">
        <f>IF(I59&lt;&gt;-1000.1,BJ48,"")</f>
      </c>
      <c r="Z59" s="87">
        <f>REPT(BK48,1)</f>
      </c>
      <c r="AA59" s="51">
        <f>REPT(BL48,1)</f>
      </c>
      <c r="AB59" s="53">
        <f>REPT(BM48,1)</f>
      </c>
      <c r="AC59" s="444">
        <f t="shared" si="51"/>
        <v>0</v>
      </c>
      <c r="AD59" s="445"/>
      <c r="AE59" s="465" t="str">
        <f>IF(AND($AT$52&gt;7,ISNUMBER(AN59)),IF(AC59&gt;0,"8.",AE58),"8.")</f>
        <v>8.</v>
      </c>
      <c r="AF59" s="466"/>
      <c r="AG59" s="467"/>
      <c r="AH59" s="435">
        <f>VLOOKUP(8,$Q$52:$AB$61,3,FALSE)</f>
      </c>
      <c r="AI59" s="436"/>
      <c r="AJ59" s="436"/>
      <c r="AK59" s="436"/>
      <c r="AL59" s="436"/>
      <c r="AM59" s="437"/>
      <c r="AN59" s="75">
        <f>VLOOKUP(8,$Q$52:$AB$61,9,FALSE)</f>
      </c>
      <c r="AO59" s="76">
        <f>VLOOKUP(8,$Q$52:$AB$61,10,FALSE)</f>
      </c>
      <c r="AP59" s="75">
        <f>VLOOKUP(8,$Q$52:$AB$61,11,FALSE)</f>
      </c>
      <c r="AQ59" s="35">
        <f>VLOOKUP(8,$Q$52:$AB$61,12,FALSE)</f>
      </c>
      <c r="AS59" s="77">
        <f t="shared" si="52"/>
        <v>0</v>
      </c>
      <c r="AT59" s="428"/>
      <c r="AU59" s="429"/>
      <c r="AW59" s="432" t="s">
        <v>64</v>
      </c>
      <c r="AX59" s="433"/>
      <c r="AY59" s="433"/>
      <c r="AZ59" s="433"/>
      <c r="BA59" s="433"/>
      <c r="BB59" s="452"/>
      <c r="BC59" s="453"/>
      <c r="BE59" s="57">
        <f>IF(AX48&gt;8,VLOOKUP(9,AX4:AZ48,2,FALSE),"")</f>
      </c>
      <c r="BF59" s="58">
        <f>IF(AX48&gt;8,VLOOKUP(9,AX4:AZ48,3,FALSE),"")</f>
      </c>
      <c r="BG59" s="42">
        <f t="shared" si="53"/>
      </c>
      <c r="BH59" s="62">
        <f t="shared" si="54"/>
      </c>
      <c r="BI59" s="17"/>
      <c r="BJ59" s="57">
        <f>IF(BA48&gt;8,VLOOKUP(9,BA4:BC48,2,FALSE),"")</f>
      </c>
      <c r="BK59" s="58">
        <f>IF(BA48&gt;8,VLOOKUP(9,BA4:BC48,3,FALSE),"")</f>
      </c>
      <c r="BL59" s="42">
        <f t="shared" si="55"/>
      </c>
      <c r="BM59" s="62">
        <f>IF(ISNUMBER(BK59),IF(BJ59=BK59,1,IF(BJ59&lt;BK59,$BB$52,0)),"")</f>
      </c>
    </row>
    <row r="60" spans="2:65" ht="9.75" customHeight="1" thickBot="1">
      <c r="B60" s="42">
        <v>9</v>
      </c>
      <c r="C60" s="455"/>
      <c r="D60" s="456"/>
      <c r="E60" s="456"/>
      <c r="F60" s="456"/>
      <c r="G60" s="456"/>
      <c r="H60" s="457"/>
      <c r="I60" s="458">
        <f>IF(AND(AT52&gt;8,ISNUMBER(BF60)),BG60*1000+((BE60-BF60)*10)+BE60,-10000.1)</f>
        <v>-10000.1</v>
      </c>
      <c r="J60" s="458"/>
      <c r="K60" s="459"/>
      <c r="L60" s="460">
        <f t="shared" si="48"/>
      </c>
      <c r="M60" s="461"/>
      <c r="N60" s="462">
        <f>I60-0.7</f>
        <v>-10000.800000000001</v>
      </c>
      <c r="O60" s="463"/>
      <c r="P60" s="464"/>
      <c r="Q60" s="445">
        <f>RANK(N60,$N$52:$P$61,0)</f>
        <v>9</v>
      </c>
      <c r="R60" s="449"/>
      <c r="S60" s="450">
        <f t="shared" si="50"/>
      </c>
      <c r="T60" s="450"/>
      <c r="U60" s="450"/>
      <c r="V60" s="451"/>
      <c r="W60" s="451"/>
      <c r="X60" s="451"/>
      <c r="Y60" s="7">
        <f>IF(I60&lt;&gt;-1000.1,BE60,"")</f>
      </c>
      <c r="Z60" s="87">
        <f>REPT(BF60,1)</f>
      </c>
      <c r="AA60" s="51">
        <f>REPT(BG60,1)</f>
      </c>
      <c r="AB60" s="53">
        <f>REPT(BH60,1)</f>
      </c>
      <c r="AC60" s="444">
        <f t="shared" si="51"/>
        <v>0</v>
      </c>
      <c r="AD60" s="445"/>
      <c r="AE60" s="465" t="str">
        <f>IF(AND($AT$52&gt;8,ISNUMBER(AN60)),IF(AC60&gt;0,"9.",AE59),"9.")</f>
        <v>9.</v>
      </c>
      <c r="AF60" s="466"/>
      <c r="AG60" s="467"/>
      <c r="AH60" s="435">
        <f>VLOOKUP(9,$Q$52:$AB$61,3,FALSE)</f>
      </c>
      <c r="AI60" s="436"/>
      <c r="AJ60" s="436"/>
      <c r="AK60" s="436"/>
      <c r="AL60" s="436"/>
      <c r="AM60" s="437"/>
      <c r="AN60" s="75">
        <f>VLOOKUP(9,$Q$52:$AB$61,9,FALSE)</f>
      </c>
      <c r="AO60" s="76">
        <f>VLOOKUP(9,$Q$52:$AB$61,10,FALSE)</f>
      </c>
      <c r="AP60" s="75">
        <f>VLOOKUP(9,$Q$52:$AB$61,11,FALSE)</f>
      </c>
      <c r="AQ60" s="35">
        <f>VLOOKUP(9,$Q$52:$AB$61,12,FALSE)</f>
      </c>
      <c r="AS60" s="77">
        <f t="shared" si="52"/>
        <v>0</v>
      </c>
      <c r="AT60" s="428"/>
      <c r="AU60" s="429"/>
      <c r="AW60" s="432" t="s">
        <v>65</v>
      </c>
      <c r="AX60" s="433"/>
      <c r="AY60" s="433"/>
      <c r="AZ60" s="433"/>
      <c r="BA60" s="433"/>
      <c r="BB60" s="454">
        <v>0.001388888888888889</v>
      </c>
      <c r="BC60" s="434"/>
      <c r="BE60" s="18">
        <f>IF(ISNUMBER(BE51),SUM(BE52:BE59),"")</f>
      </c>
      <c r="BF60" s="19">
        <f>IF(ISNUMBER(BF51),SUM(BF51:BF59),"")</f>
      </c>
      <c r="BG60" s="18">
        <f>IF(ISNUMBER(BG51),SUM(BG51:BG59),"")</f>
      </c>
      <c r="BH60" s="20">
        <f>IF(ISNUMBER(BH51),SUM(BH51:BH59),"")</f>
      </c>
      <c r="BI60" s="22"/>
      <c r="BJ60" s="18">
        <f>IF(ISNUMBER(BJ51),SUM(BJ51:BJ59),"")</f>
      </c>
      <c r="BK60" s="19">
        <f>IF(ISNUMBER(BK51),SUM(BK51:BK59),"")</f>
      </c>
      <c r="BL60" s="18">
        <f>IF(ISNUMBER(BL51),SUM(BL51:BL59),"")</f>
      </c>
      <c r="BM60" s="20">
        <f>IF(ISNUMBER(BM51),SUM(BM51:BM59),"")</f>
      </c>
    </row>
    <row r="61" spans="2:55" ht="9.75" customHeight="1" thickBot="1">
      <c r="B61" s="78">
        <v>10</v>
      </c>
      <c r="C61" s="471"/>
      <c r="D61" s="472"/>
      <c r="E61" s="472"/>
      <c r="F61" s="472"/>
      <c r="G61" s="472"/>
      <c r="H61" s="473"/>
      <c r="I61" s="474">
        <f>IF(AND(AT52&gt;9,ISNUMBER(BK60)),BL60*1000+((BJ60-BK60)*10)+BJ60,-10000.1)</f>
        <v>-10000.1</v>
      </c>
      <c r="J61" s="474"/>
      <c r="K61" s="475"/>
      <c r="L61" s="476">
        <f t="shared" si="48"/>
      </c>
      <c r="M61" s="477"/>
      <c r="N61" s="478">
        <f>I61-0.8</f>
        <v>-10000.9</v>
      </c>
      <c r="O61" s="479"/>
      <c r="P61" s="480"/>
      <c r="Q61" s="442">
        <f t="shared" si="49"/>
        <v>10</v>
      </c>
      <c r="R61" s="443"/>
      <c r="S61" s="446">
        <f t="shared" si="50"/>
      </c>
      <c r="T61" s="447"/>
      <c r="U61" s="447"/>
      <c r="V61" s="448"/>
      <c r="W61" s="448"/>
      <c r="X61" s="448"/>
      <c r="Y61" s="8">
        <f>IF(I61&lt;&gt;-1000.1,BJ60,"")</f>
      </c>
      <c r="Z61" s="88">
        <f>REPT(BK60,1)</f>
      </c>
      <c r="AA61" s="69">
        <f>REPT(BL60,1)</f>
      </c>
      <c r="AB61" s="70">
        <f>REPT(BM60,1)</f>
      </c>
      <c r="AC61" s="442">
        <f>COUNTIF($L$52:$M$61,B61)</f>
        <v>0</v>
      </c>
      <c r="AD61" s="443"/>
      <c r="AE61" s="416" t="str">
        <f>IF(AND($AT$52&gt;9,ISNUMBER(AN61)),IF(AC61&gt;0,"10.",AE60),"10.")</f>
        <v>10.</v>
      </c>
      <c r="AF61" s="417"/>
      <c r="AG61" s="418"/>
      <c r="AH61" s="419">
        <f>VLOOKUP(10,$Q$52:$AB$61,3,FALSE)</f>
      </c>
      <c r="AI61" s="420"/>
      <c r="AJ61" s="420"/>
      <c r="AK61" s="420"/>
      <c r="AL61" s="420"/>
      <c r="AM61" s="421"/>
      <c r="AN61" s="80">
        <f>VLOOKUP(10,$Q$52:$AB$61,9,FALSE)</f>
      </c>
      <c r="AO61" s="79">
        <f>VLOOKUP(10,$Q$52:$AB$61,10,FALSE)</f>
      </c>
      <c r="AP61" s="80">
        <f>VLOOKUP(10,$Q$52:$AB$61,11,FALSE)</f>
      </c>
      <c r="AQ61" s="66">
        <f>VLOOKUP(10,$Q$52:$AB$61,12,FALSE)</f>
      </c>
      <c r="AS61" s="77">
        <f t="shared" si="52"/>
        <v>0</v>
      </c>
      <c r="AT61" s="430"/>
      <c r="AU61" s="431"/>
      <c r="AW61" s="422" t="s">
        <v>63</v>
      </c>
      <c r="AX61" s="423"/>
      <c r="AY61" s="423"/>
      <c r="AZ61" s="423"/>
      <c r="BA61" s="423"/>
      <c r="BB61" s="424">
        <f>BB56+((BB60*BB59)+BB58)*BB57</f>
        <v>0.01388888888888889</v>
      </c>
      <c r="BC61" s="425"/>
    </row>
    <row r="62" ht="12.75"/>
    <row r="63" ht="12.75">
      <c r="BO63" s="15"/>
    </row>
    <row r="64" ht="12.75">
      <c r="BO64" s="15"/>
    </row>
    <row r="65" ht="12.75"/>
    <row r="69" spans="50:61" ht="12.75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50:61" ht="12.75">
      <c r="AX70" s="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2"/>
    </row>
    <row r="71" spans="50:61" ht="12.75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50:61" ht="12.75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50:61" ht="12.75"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50:61" ht="12.75">
      <c r="AX74" s="4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50:61" ht="12.75"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85" spans="50:59" ht="12.75"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96" spans="50:59" ht="12.75"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107" spans="50:59" ht="12.75"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</sheetData>
  <sheetProtection/>
  <mergeCells count="242">
    <mergeCell ref="T11:U11"/>
    <mergeCell ref="V11:W11"/>
    <mergeCell ref="T8:U8"/>
    <mergeCell ref="V8:W8"/>
    <mergeCell ref="T9:U9"/>
    <mergeCell ref="V9:W9"/>
    <mergeCell ref="T10:U10"/>
    <mergeCell ref="V10:W10"/>
    <mergeCell ref="V4:W4"/>
    <mergeCell ref="T5:U5"/>
    <mergeCell ref="V5:W5"/>
    <mergeCell ref="T6:U6"/>
    <mergeCell ref="V6:W6"/>
    <mergeCell ref="T7:U7"/>
    <mergeCell ref="V7:W7"/>
    <mergeCell ref="BB52:BC52"/>
    <mergeCell ref="B2:Q2"/>
    <mergeCell ref="R2:W2"/>
    <mergeCell ref="X2:BC2"/>
    <mergeCell ref="AP3:AQ3"/>
    <mergeCell ref="AS3:AT3"/>
    <mergeCell ref="AV3:AW3"/>
    <mergeCell ref="AY3:AZ3"/>
    <mergeCell ref="BB3:BC3"/>
    <mergeCell ref="T4:U4"/>
    <mergeCell ref="BE2:BH2"/>
    <mergeCell ref="BJ2:BM2"/>
    <mergeCell ref="R3:S3"/>
    <mergeCell ref="T3:W3"/>
    <mergeCell ref="X3:Y3"/>
    <mergeCell ref="AA3:AB3"/>
    <mergeCell ref="AD3:AE3"/>
    <mergeCell ref="AG3:AH3"/>
    <mergeCell ref="AJ3:AK3"/>
    <mergeCell ref="AM3:AN3"/>
    <mergeCell ref="T12:U12"/>
    <mergeCell ref="V12:W12"/>
    <mergeCell ref="T13:U13"/>
    <mergeCell ref="V13:W13"/>
    <mergeCell ref="T14:U14"/>
    <mergeCell ref="V14:W14"/>
    <mergeCell ref="T18:U18"/>
    <mergeCell ref="V18:W18"/>
    <mergeCell ref="T16:U16"/>
    <mergeCell ref="V16:W16"/>
    <mergeCell ref="BE14:BH14"/>
    <mergeCell ref="BJ14:BM14"/>
    <mergeCell ref="T22:U22"/>
    <mergeCell ref="V22:W22"/>
    <mergeCell ref="T23:U23"/>
    <mergeCell ref="V23:W23"/>
    <mergeCell ref="T15:U15"/>
    <mergeCell ref="V15:W15"/>
    <mergeCell ref="T19:U19"/>
    <mergeCell ref="V19:W19"/>
    <mergeCell ref="T17:U17"/>
    <mergeCell ref="V17:W17"/>
    <mergeCell ref="BJ26:BM26"/>
    <mergeCell ref="T27:U27"/>
    <mergeCell ref="V27:W27"/>
    <mergeCell ref="BE26:BH26"/>
    <mergeCell ref="T20:U20"/>
    <mergeCell ref="V20:W20"/>
    <mergeCell ref="T25:U25"/>
    <mergeCell ref="V25:W25"/>
    <mergeCell ref="T21:U21"/>
    <mergeCell ref="V21:W21"/>
    <mergeCell ref="T28:U28"/>
    <mergeCell ref="V28:W28"/>
    <mergeCell ref="T26:U26"/>
    <mergeCell ref="V26:W26"/>
    <mergeCell ref="T24:U24"/>
    <mergeCell ref="V24:W24"/>
    <mergeCell ref="V37:W37"/>
    <mergeCell ref="T29:U29"/>
    <mergeCell ref="V29:W29"/>
    <mergeCell ref="T30:U30"/>
    <mergeCell ref="V30:W30"/>
    <mergeCell ref="T31:U31"/>
    <mergeCell ref="V31:W31"/>
    <mergeCell ref="V44:W44"/>
    <mergeCell ref="T34:U34"/>
    <mergeCell ref="V34:W34"/>
    <mergeCell ref="T32:U32"/>
    <mergeCell ref="V32:W32"/>
    <mergeCell ref="T33:U33"/>
    <mergeCell ref="V33:W33"/>
    <mergeCell ref="T36:U36"/>
    <mergeCell ref="V36:W36"/>
    <mergeCell ref="T37:U37"/>
    <mergeCell ref="V41:W41"/>
    <mergeCell ref="T35:U35"/>
    <mergeCell ref="V35:W35"/>
    <mergeCell ref="T47:U47"/>
    <mergeCell ref="V47:W47"/>
    <mergeCell ref="T40:U40"/>
    <mergeCell ref="V40:W40"/>
    <mergeCell ref="T43:U43"/>
    <mergeCell ref="V43:W43"/>
    <mergeCell ref="T44:U44"/>
    <mergeCell ref="AS51:AU51"/>
    <mergeCell ref="T46:U46"/>
    <mergeCell ref="V46:W46"/>
    <mergeCell ref="BE38:BH38"/>
    <mergeCell ref="BJ38:BM38"/>
    <mergeCell ref="T39:U39"/>
    <mergeCell ref="V39:W39"/>
    <mergeCell ref="T38:U38"/>
    <mergeCell ref="V38:W38"/>
    <mergeCell ref="T41:U41"/>
    <mergeCell ref="AP51:AQ51"/>
    <mergeCell ref="B50:M50"/>
    <mergeCell ref="N50:AD50"/>
    <mergeCell ref="BB51:BC51"/>
    <mergeCell ref="AW50:BC50"/>
    <mergeCell ref="T42:U42"/>
    <mergeCell ref="V42:W42"/>
    <mergeCell ref="T45:U45"/>
    <mergeCell ref="V45:W45"/>
    <mergeCell ref="AH51:AM51"/>
    <mergeCell ref="BE50:BH50"/>
    <mergeCell ref="AE50:AQ50"/>
    <mergeCell ref="AS50:AU50"/>
    <mergeCell ref="T48:U48"/>
    <mergeCell ref="V48:W48"/>
    <mergeCell ref="S51:X51"/>
    <mergeCell ref="AC51:AD51"/>
    <mergeCell ref="AE51:AG51"/>
    <mergeCell ref="AW51:BA51"/>
    <mergeCell ref="AN51:AO51"/>
    <mergeCell ref="Q53:R53"/>
    <mergeCell ref="S53:X53"/>
    <mergeCell ref="BJ50:BM50"/>
    <mergeCell ref="C51:H51"/>
    <mergeCell ref="I51:K51"/>
    <mergeCell ref="L51:M51"/>
    <mergeCell ref="N51:P51"/>
    <mergeCell ref="Q51:R51"/>
    <mergeCell ref="AC53:AD53"/>
    <mergeCell ref="AE53:AG53"/>
    <mergeCell ref="C54:H54"/>
    <mergeCell ref="I54:K54"/>
    <mergeCell ref="L54:M54"/>
    <mergeCell ref="N54:P54"/>
    <mergeCell ref="Q54:R54"/>
    <mergeCell ref="S54:X54"/>
    <mergeCell ref="C53:H53"/>
    <mergeCell ref="I53:K53"/>
    <mergeCell ref="L53:M53"/>
    <mergeCell ref="N53:P53"/>
    <mergeCell ref="C52:H52"/>
    <mergeCell ref="I52:K52"/>
    <mergeCell ref="L52:M52"/>
    <mergeCell ref="N52:P52"/>
    <mergeCell ref="AW56:BA56"/>
    <mergeCell ref="Q52:R52"/>
    <mergeCell ref="S52:X52"/>
    <mergeCell ref="AC52:AD52"/>
    <mergeCell ref="S55:X55"/>
    <mergeCell ref="AC55:AD55"/>
    <mergeCell ref="Q55:R55"/>
    <mergeCell ref="AE52:AG52"/>
    <mergeCell ref="AT52:AU56"/>
    <mergeCell ref="AH53:AM53"/>
    <mergeCell ref="AH52:AM52"/>
    <mergeCell ref="AW52:BA52"/>
    <mergeCell ref="BB56:BC56"/>
    <mergeCell ref="AC54:AD54"/>
    <mergeCell ref="AE54:AG54"/>
    <mergeCell ref="AH54:AM54"/>
    <mergeCell ref="AW55:BC55"/>
    <mergeCell ref="AH56:AM56"/>
    <mergeCell ref="AE55:AG55"/>
    <mergeCell ref="AH55:AM55"/>
    <mergeCell ref="S57:X57"/>
    <mergeCell ref="C56:H56"/>
    <mergeCell ref="I56:K56"/>
    <mergeCell ref="L56:M56"/>
    <mergeCell ref="N56:P56"/>
    <mergeCell ref="C55:H55"/>
    <mergeCell ref="I55:K55"/>
    <mergeCell ref="L55:M55"/>
    <mergeCell ref="N55:P55"/>
    <mergeCell ref="C57:H57"/>
    <mergeCell ref="AH59:AM59"/>
    <mergeCell ref="L59:M59"/>
    <mergeCell ref="N59:P59"/>
    <mergeCell ref="Q56:R56"/>
    <mergeCell ref="S56:X56"/>
    <mergeCell ref="AC56:AD56"/>
    <mergeCell ref="AE56:AG56"/>
    <mergeCell ref="Q58:R58"/>
    <mergeCell ref="S58:X58"/>
    <mergeCell ref="Q57:R57"/>
    <mergeCell ref="C61:H61"/>
    <mergeCell ref="I61:K61"/>
    <mergeCell ref="L61:M61"/>
    <mergeCell ref="N61:P61"/>
    <mergeCell ref="AE60:AG60"/>
    <mergeCell ref="AH57:AM57"/>
    <mergeCell ref="AC58:AD58"/>
    <mergeCell ref="AE58:AG58"/>
    <mergeCell ref="AC57:AD57"/>
    <mergeCell ref="AE57:AG57"/>
    <mergeCell ref="I57:K57"/>
    <mergeCell ref="L57:M57"/>
    <mergeCell ref="N57:P57"/>
    <mergeCell ref="C59:H59"/>
    <mergeCell ref="I59:K59"/>
    <mergeCell ref="C58:H58"/>
    <mergeCell ref="I58:K58"/>
    <mergeCell ref="L58:M58"/>
    <mergeCell ref="N58:P58"/>
    <mergeCell ref="AW59:BA59"/>
    <mergeCell ref="BB59:BC59"/>
    <mergeCell ref="AH60:AM60"/>
    <mergeCell ref="AW60:BA60"/>
    <mergeCell ref="BB60:BC60"/>
    <mergeCell ref="C60:H60"/>
    <mergeCell ref="I60:K60"/>
    <mergeCell ref="L60:M60"/>
    <mergeCell ref="N60:P60"/>
    <mergeCell ref="AE59:AG59"/>
    <mergeCell ref="AC61:AD61"/>
    <mergeCell ref="AC59:AD59"/>
    <mergeCell ref="Q61:R61"/>
    <mergeCell ref="S61:X61"/>
    <mergeCell ref="Q60:R60"/>
    <mergeCell ref="S60:X60"/>
    <mergeCell ref="AC60:AD60"/>
    <mergeCell ref="Q59:R59"/>
    <mergeCell ref="S59:X59"/>
    <mergeCell ref="AE61:AG61"/>
    <mergeCell ref="AH61:AM61"/>
    <mergeCell ref="AW61:BA61"/>
    <mergeCell ref="BB61:BC61"/>
    <mergeCell ref="AT57:AU61"/>
    <mergeCell ref="AW57:BA57"/>
    <mergeCell ref="BB57:BC57"/>
    <mergeCell ref="AH58:AM58"/>
    <mergeCell ref="AW58:BA58"/>
    <mergeCell ref="BB58:BC58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AJ82"/>
  <sheetViews>
    <sheetView tabSelected="1" zoomScaleSheetLayoutView="100" zoomScalePageLayoutView="0" workbookViewId="0" topLeftCell="A1">
      <selection activeCell="AK20" sqref="AK20"/>
    </sheetView>
  </sheetViews>
  <sheetFormatPr defaultColWidth="11.421875" defaultRowHeight="12.75"/>
  <cols>
    <col min="1" max="1" width="4.7109375" style="113" customWidth="1"/>
    <col min="2" max="2" width="6.00390625" style="113" customWidth="1"/>
    <col min="3" max="3" width="4.00390625" style="113" customWidth="1"/>
    <col min="4" max="4" width="3.57421875" style="113" customWidth="1"/>
    <col min="5" max="5" width="4.140625" style="113" customWidth="1"/>
    <col min="6" max="6" width="2.8515625" style="113" customWidth="1"/>
    <col min="7" max="7" width="1.57421875" style="113" customWidth="1"/>
    <col min="8" max="10" width="3.57421875" style="113" customWidth="1"/>
    <col min="11" max="11" width="1.7109375" style="113" customWidth="1"/>
    <col min="12" max="12" width="11.28125" style="113" customWidth="1"/>
    <col min="13" max="13" width="1.7109375" style="113" customWidth="1"/>
    <col min="14" max="14" width="11.00390625" style="113" customWidth="1"/>
    <col min="15" max="15" width="3.7109375" style="113" customWidth="1"/>
    <col min="16" max="17" width="3.57421875" style="113" customWidth="1"/>
    <col min="18" max="18" width="6.00390625" style="113" customWidth="1"/>
    <col min="19" max="19" width="1.421875" style="113" customWidth="1"/>
    <col min="20" max="20" width="7.57421875" style="113" customWidth="1"/>
    <col min="21" max="21" width="3.28125" style="113" customWidth="1"/>
    <col min="22" max="26" width="2.28125" style="113" customWidth="1"/>
    <col min="27" max="28" width="5.00390625" style="113" customWidth="1"/>
    <col min="29" max="47" width="8.7109375" style="113" customWidth="1"/>
    <col min="48" max="16384" width="11.421875" style="113" customWidth="1"/>
  </cols>
  <sheetData>
    <row r="2" spans="3:27" ht="9.7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3:27" ht="19.5" customHeight="1">
      <c r="C3" s="621" t="s">
        <v>153</v>
      </c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</row>
    <row r="4" spans="3:27" ht="19.5" customHeight="1">
      <c r="C4" s="622" t="s">
        <v>159</v>
      </c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</row>
    <row r="5" spans="3:27" ht="27.75" customHeight="1" thickBot="1">
      <c r="C5" s="623" t="s">
        <v>113</v>
      </c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</row>
    <row r="6" ht="16.5" customHeight="1"/>
    <row r="7" spans="3:27" ht="21" customHeight="1">
      <c r="C7" s="625" t="str">
        <f>IF(H63=1,'Lizenz Nr.- Eingabe'!D13,#REF!)</f>
        <v>NDS-Meisterschaft Radball U-13</v>
      </c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</row>
    <row r="8" spans="3:27" s="137" customFormat="1" ht="24.75" customHeight="1">
      <c r="C8" s="259" t="str">
        <f>IF(H63=1,'Lizenz Nr.- Eingabe'!D8,#REF!)</f>
        <v>Veranstalter: RV Möve Bilshausen</v>
      </c>
      <c r="D8" s="260"/>
      <c r="E8" s="260"/>
      <c r="F8" s="255"/>
      <c r="G8" s="255"/>
      <c r="H8" s="255"/>
      <c r="I8" s="255"/>
      <c r="J8" s="255"/>
      <c r="K8" s="259"/>
      <c r="L8" s="255"/>
      <c r="M8" s="255"/>
      <c r="N8" s="255"/>
      <c r="O8" s="255"/>
      <c r="P8" s="255"/>
      <c r="Q8" s="619" t="str">
        <f>IF(H63=1,'Lizenz Nr.- Eingabe'!W8,#REF!)</f>
        <v>Halle: Carl-Strüber Sporthalle</v>
      </c>
      <c r="R8" s="620"/>
      <c r="S8" s="620"/>
      <c r="T8" s="620"/>
      <c r="U8" s="620"/>
      <c r="V8" s="620"/>
      <c r="W8" s="620"/>
      <c r="X8" s="620"/>
      <c r="Y8" s="620"/>
      <c r="Z8" s="620"/>
      <c r="AA8" s="620"/>
    </row>
    <row r="9" spans="3:27" s="137" customFormat="1" ht="19.5" customHeight="1">
      <c r="C9" s="255" t="str">
        <f>IF(H63=1,'Lizenz Nr.- Eingabe'!D9,#REF!)</f>
        <v>Franz Josef Adler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546" t="str">
        <f>IF(H63=1,'Lizenz Nr.- Eingabe'!W9,#REF!)</f>
        <v>Sandweg 80</v>
      </c>
      <c r="R9" s="546"/>
      <c r="S9" s="546"/>
      <c r="T9" s="546"/>
      <c r="U9" s="546"/>
      <c r="V9" s="546"/>
      <c r="W9" s="546"/>
      <c r="X9" s="546"/>
      <c r="Y9" s="546"/>
      <c r="Z9" s="546"/>
      <c r="AA9" s="546"/>
    </row>
    <row r="10" spans="3:27" s="137" customFormat="1" ht="19.5" customHeight="1">
      <c r="C10" s="260" t="str">
        <f>IF(H63=1,'Lizenz Nr.- Eingabe'!D10,#REF!)</f>
        <v>Feldstraße 12, 37434 Bilshausen</v>
      </c>
      <c r="D10" s="260"/>
      <c r="E10" s="260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546" t="str">
        <f>IF(H63=1,'Lizenz Nr.- Eingabe'!W10,#REF!)</f>
        <v>37434 Bilshausen</v>
      </c>
      <c r="R10" s="546"/>
      <c r="S10" s="546"/>
      <c r="T10" s="546"/>
      <c r="U10" s="546"/>
      <c r="V10" s="546"/>
      <c r="W10" s="546"/>
      <c r="X10" s="546"/>
      <c r="Y10" s="546"/>
      <c r="Z10" s="546"/>
      <c r="AA10" s="546"/>
    </row>
    <row r="11" spans="3:27" s="137" customFormat="1" ht="19.5" customHeight="1">
      <c r="C11" s="260" t="str">
        <f>IF(H63=1,'Lizenz Nr.- Eingabe'!D11,#REF!)</f>
        <v>Tel. 05528 3075</v>
      </c>
      <c r="D11" s="260"/>
      <c r="E11" s="260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546" t="str">
        <f>IF(H63=1,'Lizenz Nr.- Eingabe'!W11,#REF!)</f>
        <v>Tel.:  </v>
      </c>
      <c r="R11" s="546"/>
      <c r="S11" s="546"/>
      <c r="T11" s="546"/>
      <c r="U11" s="546"/>
      <c r="V11" s="546"/>
      <c r="W11" s="546"/>
      <c r="X11" s="546"/>
      <c r="Y11" s="546"/>
      <c r="Z11" s="546"/>
      <c r="AA11" s="546"/>
    </row>
    <row r="12" spans="3:27" s="137" customFormat="1" ht="19.5" customHeight="1">
      <c r="C12" s="260">
        <f>IF(H63=1,'Lizenz Nr.- Eingabe'!D12,#REF!)</f>
        <v>0</v>
      </c>
      <c r="D12" s="260"/>
      <c r="E12" s="260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549" t="str">
        <f>IF(H63=1,'Lizenz Nr.- Eingabe'!T13,#REF!)</f>
        <v>Datum: 25.02.2024</v>
      </c>
      <c r="R12" s="549"/>
      <c r="S12" s="549"/>
      <c r="T12" s="549"/>
      <c r="U12" s="549"/>
      <c r="V12" s="549"/>
      <c r="W12" s="549"/>
      <c r="X12" s="549"/>
      <c r="Y12" s="549"/>
      <c r="Z12" s="549"/>
      <c r="AA12" s="549"/>
    </row>
    <row r="13" spans="3:27" ht="11.25" customHeight="1">
      <c r="C13" s="138"/>
      <c r="D13" s="138"/>
      <c r="E13" s="138"/>
      <c r="F13" s="139"/>
      <c r="G13" s="139"/>
      <c r="H13" s="14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3:35" ht="24.75" customHeight="1">
      <c r="C14" s="550" t="s">
        <v>72</v>
      </c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U14" s="548" t="s">
        <v>73</v>
      </c>
      <c r="V14" s="548"/>
      <c r="W14" s="548"/>
      <c r="X14" s="547" t="str">
        <f>IF(H63=1,'Lizenz Nr.- Eingabe'!$AF$13,#REF!)</f>
        <v>10.00</v>
      </c>
      <c r="Y14" s="547"/>
      <c r="Z14" s="547"/>
      <c r="AA14" s="114" t="s">
        <v>84</v>
      </c>
      <c r="AC14" s="141"/>
      <c r="AE14" s="141"/>
      <c r="AF14" s="141"/>
      <c r="AG14" s="141"/>
      <c r="AH14" s="141"/>
      <c r="AI14" s="141"/>
    </row>
    <row r="15" spans="29:35" ht="9.75" customHeight="1">
      <c r="AC15" s="142"/>
      <c r="AE15" s="143"/>
      <c r="AF15" s="143"/>
      <c r="AG15" s="143"/>
      <c r="AH15" s="143"/>
      <c r="AI15" s="141"/>
    </row>
    <row r="16" spans="3:35" ht="15" customHeight="1">
      <c r="C16" s="144" t="s">
        <v>15</v>
      </c>
      <c r="D16" s="551" t="str">
        <f>IF($H$63=1,'Lizenz Nr.- Eingabe'!D15,#REF!)</f>
        <v>RVS Obernfeld I</v>
      </c>
      <c r="E16" s="551"/>
      <c r="F16" s="551"/>
      <c r="G16" s="551"/>
      <c r="H16" s="551"/>
      <c r="I16" s="551"/>
      <c r="J16" s="551"/>
      <c r="K16" s="145"/>
      <c r="L16" s="146"/>
      <c r="M16" s="146"/>
      <c r="N16" s="146"/>
      <c r="P16" s="546" t="str">
        <f>IF($H$63=1,O67,AC67)</f>
        <v>Moritz Bock / Jakob Wüstefeld</v>
      </c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C16" s="147"/>
      <c r="AE16" s="143"/>
      <c r="AF16" s="143"/>
      <c r="AG16" s="143"/>
      <c r="AH16" s="143"/>
      <c r="AI16" s="141"/>
    </row>
    <row r="17" spans="3:35" ht="16.5" customHeight="1">
      <c r="C17" s="144" t="s">
        <v>16</v>
      </c>
      <c r="D17" s="551" t="str">
        <f>IF($H$63=1,'Lizenz Nr.- Eingabe'!D17,#REF!)</f>
        <v>RVM Bilshausen II</v>
      </c>
      <c r="E17" s="551"/>
      <c r="F17" s="551"/>
      <c r="G17" s="551"/>
      <c r="H17" s="551"/>
      <c r="I17" s="551"/>
      <c r="J17" s="551"/>
      <c r="K17" s="145"/>
      <c r="L17" s="146"/>
      <c r="M17" s="146"/>
      <c r="N17" s="146"/>
      <c r="P17" s="546" t="str">
        <f>IF($H$63=1,O69,AC69)</f>
        <v>Richard Sieg / Jarik Strüber</v>
      </c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C17" s="147"/>
      <c r="AE17" s="143"/>
      <c r="AF17" s="143"/>
      <c r="AG17" s="143"/>
      <c r="AH17" s="143"/>
      <c r="AI17" s="141"/>
    </row>
    <row r="18" spans="3:35" ht="16.5" customHeight="1">
      <c r="C18" s="144" t="s">
        <v>17</v>
      </c>
      <c r="D18" s="551" t="str">
        <f>IF($H$63=1,'Lizenz Nr.- Eingabe'!D19,#REF!)</f>
        <v>RSVL Gifhorn I</v>
      </c>
      <c r="E18" s="551"/>
      <c r="F18" s="551"/>
      <c r="G18" s="551"/>
      <c r="H18" s="551"/>
      <c r="I18" s="551"/>
      <c r="J18" s="551"/>
      <c r="K18" s="145"/>
      <c r="L18" s="146"/>
      <c r="M18" s="146"/>
      <c r="N18" s="146"/>
      <c r="P18" s="546" t="str">
        <f>IF($H$63=1,O71,AC71)</f>
        <v>Paul Kriebel  / Henri Brunken</v>
      </c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C18" s="147"/>
      <c r="AE18" s="143"/>
      <c r="AF18" s="143"/>
      <c r="AG18" s="143"/>
      <c r="AH18" s="143"/>
      <c r="AI18" s="141"/>
    </row>
    <row r="19" spans="3:35" ht="16.5" customHeight="1">
      <c r="C19" s="144" t="s">
        <v>18</v>
      </c>
      <c r="D19" s="551" t="str">
        <f>IF($H$63=1,'Lizenz Nr.- Eingabe'!D21,#REF!)</f>
        <v>RCG Hahndorf I</v>
      </c>
      <c r="E19" s="551"/>
      <c r="F19" s="551"/>
      <c r="G19" s="551"/>
      <c r="H19" s="551"/>
      <c r="I19" s="551"/>
      <c r="J19" s="551"/>
      <c r="K19" s="145"/>
      <c r="L19" s="146"/>
      <c r="M19" s="146"/>
      <c r="N19" s="146"/>
      <c r="P19" s="546" t="str">
        <f>IF($H$63=1,O73,AC73)</f>
        <v>Finn Faulhaber / Jonah Eliah Kroll</v>
      </c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C19" s="147"/>
      <c r="AE19" s="143"/>
      <c r="AF19" s="143"/>
      <c r="AG19" s="143"/>
      <c r="AH19" s="143"/>
      <c r="AI19" s="141"/>
    </row>
    <row r="20" spans="3:35" ht="16.5" customHeight="1">
      <c r="C20" s="144" t="s">
        <v>19</v>
      </c>
      <c r="D20" s="551" t="str">
        <f>IF($H$63=1,'Lizenz Nr.- Eingabe'!D23,#REF!)</f>
        <v>RVS Obernfeld II</v>
      </c>
      <c r="E20" s="551"/>
      <c r="F20" s="551"/>
      <c r="G20" s="551"/>
      <c r="H20" s="551"/>
      <c r="I20" s="551"/>
      <c r="J20" s="551"/>
      <c r="K20" s="145"/>
      <c r="L20" s="146"/>
      <c r="M20" s="146"/>
      <c r="N20" s="146"/>
      <c r="P20" s="546" t="str">
        <f>IF($H$63=1,O75,AC75)</f>
        <v>Jaris Fröhlich / Alexander Menzel</v>
      </c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C20" s="147"/>
      <c r="AE20" s="143"/>
      <c r="AF20" s="143"/>
      <c r="AG20" s="143"/>
      <c r="AH20" s="143"/>
      <c r="AI20" s="141"/>
    </row>
    <row r="21" spans="3:35" ht="16.5" customHeight="1">
      <c r="C21" s="144" t="s">
        <v>20</v>
      </c>
      <c r="D21" s="551">
        <f>IF($H$63=1,'Lizenz Nr.- Eingabe'!D25,#REF!)</f>
        <v>0</v>
      </c>
      <c r="E21" s="551"/>
      <c r="F21" s="551"/>
      <c r="G21" s="551"/>
      <c r="H21" s="551"/>
      <c r="I21" s="551"/>
      <c r="J21" s="551"/>
      <c r="K21" s="145"/>
      <c r="L21" s="146">
        <f>IF(H63=1,(C77),#REF!)</f>
        <v>0</v>
      </c>
      <c r="M21" s="146" t="s">
        <v>162</v>
      </c>
      <c r="N21" s="146">
        <f>IF(H63=1,(C78),#REF!)</f>
        <v>0</v>
      </c>
      <c r="P21" s="546">
        <f>IF($H$63=1,O77,AC77)</f>
      </c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C21" s="147"/>
      <c r="AE21" s="143"/>
      <c r="AF21" s="143"/>
      <c r="AG21" s="143"/>
      <c r="AH21" s="143"/>
      <c r="AI21" s="141"/>
    </row>
    <row r="22" spans="3:35" ht="12" customHeight="1" thickBot="1"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7"/>
      <c r="AE22" s="143"/>
      <c r="AF22" s="143"/>
      <c r="AG22" s="143"/>
      <c r="AH22" s="143"/>
      <c r="AI22" s="141"/>
    </row>
    <row r="23" spans="29:35" ht="3.75" customHeight="1">
      <c r="AC23" s="147"/>
      <c r="AE23" s="143"/>
      <c r="AF23" s="143"/>
      <c r="AG23" s="143"/>
      <c r="AH23" s="143"/>
      <c r="AI23" s="141"/>
    </row>
    <row r="24" spans="3:35" ht="18" customHeight="1">
      <c r="C24" s="550" t="s">
        <v>74</v>
      </c>
      <c r="D24" s="550"/>
      <c r="E24" s="550"/>
      <c r="F24" s="550"/>
      <c r="Z24" s="117"/>
      <c r="AC24" s="147"/>
      <c r="AE24" s="143"/>
      <c r="AF24" s="143"/>
      <c r="AG24" s="143"/>
      <c r="AH24" s="143"/>
      <c r="AI24" s="141"/>
    </row>
    <row r="25" spans="29:35" ht="3.75" customHeight="1">
      <c r="AC25" s="147"/>
      <c r="AE25" s="143"/>
      <c r="AF25" s="143"/>
      <c r="AG25" s="143"/>
      <c r="AH25" s="143"/>
      <c r="AI25" s="141"/>
    </row>
    <row r="26" spans="3:35" ht="18" customHeight="1">
      <c r="C26" s="149" t="s">
        <v>75</v>
      </c>
      <c r="D26" s="553" t="str">
        <f>IF($H$63=1,'Lizenz Nr.- Eingabe'!F32,#REF!)</f>
        <v>RVS Obernfeld I</v>
      </c>
      <c r="E26" s="553"/>
      <c r="F26" s="553"/>
      <c r="G26" s="553"/>
      <c r="H26" s="553"/>
      <c r="I26" s="553"/>
      <c r="J26" s="553"/>
      <c r="K26" s="150" t="s">
        <v>85</v>
      </c>
      <c r="L26" s="553" t="str">
        <f>IF($H$63=1,'Lizenz Nr.- Eingabe'!K32,#REF!)</f>
        <v>RVS Obernfeld II</v>
      </c>
      <c r="M26" s="553"/>
      <c r="N26" s="553"/>
      <c r="O26" s="553"/>
      <c r="P26" s="553"/>
      <c r="Q26" s="553"/>
      <c r="R26" s="553"/>
      <c r="S26" s="553"/>
      <c r="T26" s="151"/>
      <c r="U26" s="151"/>
      <c r="V26" s="554"/>
      <c r="W26" s="554"/>
      <c r="X26" s="152" t="s">
        <v>14</v>
      </c>
      <c r="Y26" s="554"/>
      <c r="Z26" s="554"/>
      <c r="AC26" s="147"/>
      <c r="AE26" s="143"/>
      <c r="AF26" s="143"/>
      <c r="AG26" s="143"/>
      <c r="AH26" s="143"/>
      <c r="AI26" s="141"/>
    </row>
    <row r="27" spans="3:35" ht="18" customHeight="1">
      <c r="C27" s="149" t="s">
        <v>76</v>
      </c>
      <c r="D27" s="553" t="str">
        <f>IF($H$63=1,'Lizenz Nr.- Eingabe'!F33,#REF!)</f>
        <v>RVM Bilshausen II</v>
      </c>
      <c r="E27" s="553"/>
      <c r="F27" s="553"/>
      <c r="G27" s="553"/>
      <c r="H27" s="553"/>
      <c r="I27" s="553"/>
      <c r="J27" s="553"/>
      <c r="K27" s="150" t="s">
        <v>85</v>
      </c>
      <c r="L27" s="553" t="str">
        <f>IF($H$63=1,'Lizenz Nr.- Eingabe'!K33,#REF!)</f>
        <v>RSVL Gifhorn I</v>
      </c>
      <c r="M27" s="553"/>
      <c r="N27" s="553"/>
      <c r="O27" s="553"/>
      <c r="P27" s="553"/>
      <c r="Q27" s="553"/>
      <c r="R27" s="553"/>
      <c r="S27" s="553"/>
      <c r="T27" s="151"/>
      <c r="U27" s="151"/>
      <c r="V27" s="554"/>
      <c r="W27" s="554"/>
      <c r="X27" s="152" t="s">
        <v>14</v>
      </c>
      <c r="Y27" s="554"/>
      <c r="Z27" s="554"/>
      <c r="AC27" s="147"/>
      <c r="AE27" s="143"/>
      <c r="AF27" s="143"/>
      <c r="AG27" s="143"/>
      <c r="AH27" s="143"/>
      <c r="AI27" s="141"/>
    </row>
    <row r="28" spans="3:35" ht="18" customHeight="1">
      <c r="C28" s="153" t="s">
        <v>77</v>
      </c>
      <c r="D28" s="553" t="str">
        <f>IF($H$63=1,'Lizenz Nr.- Eingabe'!F34,#REF!)</f>
        <v>RCG Hahndorf I</v>
      </c>
      <c r="E28" s="553"/>
      <c r="F28" s="553"/>
      <c r="G28" s="553"/>
      <c r="H28" s="553"/>
      <c r="I28" s="553"/>
      <c r="J28" s="553"/>
      <c r="K28" s="150" t="s">
        <v>85</v>
      </c>
      <c r="L28" s="553" t="str">
        <f>IF($H$63=1,'Lizenz Nr.- Eingabe'!K34,#REF!)</f>
        <v>RVS Obernfeld II</v>
      </c>
      <c r="M28" s="553"/>
      <c r="N28" s="553"/>
      <c r="O28" s="553"/>
      <c r="P28" s="553"/>
      <c r="Q28" s="553"/>
      <c r="R28" s="553"/>
      <c r="S28" s="553"/>
      <c r="T28" s="151"/>
      <c r="U28" s="151"/>
      <c r="V28" s="554"/>
      <c r="W28" s="554"/>
      <c r="X28" s="152" t="s">
        <v>14</v>
      </c>
      <c r="Y28" s="554"/>
      <c r="Z28" s="554"/>
      <c r="AC28" s="147"/>
      <c r="AE28" s="143"/>
      <c r="AF28" s="143"/>
      <c r="AG28" s="143"/>
      <c r="AH28" s="143"/>
      <c r="AI28" s="141"/>
    </row>
    <row r="29" spans="3:35" ht="18" customHeight="1">
      <c r="C29" s="149" t="s">
        <v>78</v>
      </c>
      <c r="D29" s="553" t="str">
        <f>IF($H$63=1,'Lizenz Nr.- Eingabe'!F35,#REF!)</f>
        <v>RVS Obernfeld I</v>
      </c>
      <c r="E29" s="553"/>
      <c r="F29" s="553"/>
      <c r="G29" s="553"/>
      <c r="H29" s="553"/>
      <c r="I29" s="553"/>
      <c r="J29" s="553"/>
      <c r="K29" s="150" t="s">
        <v>85</v>
      </c>
      <c r="L29" s="553" t="str">
        <f>IF($H$63=1,'Lizenz Nr.- Eingabe'!K35,#REF!)</f>
        <v>RSVL Gifhorn I</v>
      </c>
      <c r="M29" s="553"/>
      <c r="N29" s="553"/>
      <c r="O29" s="553"/>
      <c r="P29" s="553"/>
      <c r="Q29" s="553"/>
      <c r="R29" s="553"/>
      <c r="S29" s="553"/>
      <c r="T29" s="151"/>
      <c r="U29" s="151"/>
      <c r="V29" s="554"/>
      <c r="W29" s="554"/>
      <c r="X29" s="152" t="s">
        <v>14</v>
      </c>
      <c r="Y29" s="554"/>
      <c r="Z29" s="554"/>
      <c r="AC29" s="147"/>
      <c r="AE29" s="143"/>
      <c r="AF29" s="143"/>
      <c r="AG29" s="143"/>
      <c r="AH29" s="143"/>
      <c r="AI29" s="141"/>
    </row>
    <row r="30" spans="3:35" ht="18" customHeight="1">
      <c r="C30" s="149" t="s">
        <v>79</v>
      </c>
      <c r="D30" s="553" t="str">
        <f>IF($H$63=1,'Lizenz Nr.- Eingabe'!F36,#REF!)</f>
        <v>RVM Bilshausen II</v>
      </c>
      <c r="E30" s="553"/>
      <c r="F30" s="553"/>
      <c r="G30" s="553"/>
      <c r="H30" s="553"/>
      <c r="I30" s="553"/>
      <c r="J30" s="553"/>
      <c r="K30" s="150" t="s">
        <v>85</v>
      </c>
      <c r="L30" s="553" t="str">
        <f>IF($H$63=1,'Lizenz Nr.- Eingabe'!K36,#REF!)</f>
        <v>RCG Hahndorf I</v>
      </c>
      <c r="M30" s="553"/>
      <c r="N30" s="553"/>
      <c r="O30" s="553"/>
      <c r="P30" s="553"/>
      <c r="Q30" s="553"/>
      <c r="R30" s="553"/>
      <c r="S30" s="553"/>
      <c r="T30" s="151"/>
      <c r="U30" s="151"/>
      <c r="V30" s="554"/>
      <c r="W30" s="554"/>
      <c r="X30" s="152" t="s">
        <v>14</v>
      </c>
      <c r="Y30" s="554"/>
      <c r="Z30" s="554"/>
      <c r="AC30" s="147"/>
      <c r="AE30" s="143"/>
      <c r="AF30" s="143"/>
      <c r="AG30" s="143"/>
      <c r="AH30" s="143"/>
      <c r="AI30" s="141"/>
    </row>
    <row r="31" spans="3:35" ht="18" customHeight="1">
      <c r="C31" s="153" t="s">
        <v>80</v>
      </c>
      <c r="D31" s="553" t="str">
        <f>IF($H$63=1,'Lizenz Nr.- Eingabe'!F37,#REF!)</f>
        <v>RSVL Gifhorn I</v>
      </c>
      <c r="E31" s="553"/>
      <c r="F31" s="553"/>
      <c r="G31" s="553"/>
      <c r="H31" s="553"/>
      <c r="I31" s="553"/>
      <c r="J31" s="553"/>
      <c r="K31" s="150" t="s">
        <v>85</v>
      </c>
      <c r="L31" s="553" t="str">
        <f>IF($H$63=1,'Lizenz Nr.- Eingabe'!K37,#REF!)</f>
        <v>RVS Obernfeld II</v>
      </c>
      <c r="M31" s="553"/>
      <c r="N31" s="553"/>
      <c r="O31" s="553"/>
      <c r="P31" s="553"/>
      <c r="Q31" s="553"/>
      <c r="R31" s="553"/>
      <c r="S31" s="553"/>
      <c r="T31" s="151"/>
      <c r="U31" s="151"/>
      <c r="V31" s="554"/>
      <c r="W31" s="554"/>
      <c r="X31" s="152" t="s">
        <v>14</v>
      </c>
      <c r="Y31" s="554"/>
      <c r="Z31" s="554"/>
      <c r="AC31" s="147"/>
      <c r="AE31" s="143"/>
      <c r="AF31" s="143"/>
      <c r="AG31" s="143"/>
      <c r="AH31" s="143"/>
      <c r="AI31" s="141"/>
    </row>
    <row r="32" spans="3:35" ht="18" customHeight="1">
      <c r="C32" s="149" t="s">
        <v>81</v>
      </c>
      <c r="D32" s="553" t="str">
        <f>IF($H$63=1,'Lizenz Nr.- Eingabe'!F38,#REF!)</f>
        <v>RVS Obernfeld I</v>
      </c>
      <c r="E32" s="553"/>
      <c r="F32" s="553"/>
      <c r="G32" s="553"/>
      <c r="H32" s="553"/>
      <c r="I32" s="553"/>
      <c r="J32" s="553"/>
      <c r="K32" s="150" t="s">
        <v>85</v>
      </c>
      <c r="L32" s="553" t="str">
        <f>IF($H$63=1,'Lizenz Nr.- Eingabe'!K38,#REF!)</f>
        <v>RCG Hahndorf I</v>
      </c>
      <c r="M32" s="553"/>
      <c r="N32" s="553"/>
      <c r="O32" s="553"/>
      <c r="P32" s="553"/>
      <c r="Q32" s="553"/>
      <c r="R32" s="553"/>
      <c r="S32" s="553"/>
      <c r="T32" s="151"/>
      <c r="U32" s="151"/>
      <c r="V32" s="554"/>
      <c r="W32" s="554"/>
      <c r="X32" s="152" t="s">
        <v>14</v>
      </c>
      <c r="Y32" s="554"/>
      <c r="Z32" s="554"/>
      <c r="AC32" s="141"/>
      <c r="AD32" s="141"/>
      <c r="AE32" s="141"/>
      <c r="AF32" s="141"/>
      <c r="AG32" s="141"/>
      <c r="AH32" s="141"/>
      <c r="AI32" s="141"/>
    </row>
    <row r="33" spans="3:26" ht="18" customHeight="1">
      <c r="C33" s="149" t="s">
        <v>82</v>
      </c>
      <c r="D33" s="553" t="str">
        <f>IF($H$63=1,'Lizenz Nr.- Eingabe'!F39,#REF!)</f>
        <v>RVM Bilshausen II</v>
      </c>
      <c r="E33" s="553"/>
      <c r="F33" s="553"/>
      <c r="G33" s="553"/>
      <c r="H33" s="553"/>
      <c r="I33" s="553"/>
      <c r="J33" s="553"/>
      <c r="K33" s="150" t="s">
        <v>85</v>
      </c>
      <c r="L33" s="553" t="str">
        <f>IF($H$63=1,'Lizenz Nr.- Eingabe'!K39,#REF!)</f>
        <v>RVS Obernfeld II</v>
      </c>
      <c r="M33" s="553"/>
      <c r="N33" s="553"/>
      <c r="O33" s="553"/>
      <c r="P33" s="553"/>
      <c r="Q33" s="553"/>
      <c r="R33" s="553"/>
      <c r="S33" s="553"/>
      <c r="T33" s="151"/>
      <c r="U33" s="151"/>
      <c r="V33" s="554"/>
      <c r="W33" s="554"/>
      <c r="X33" s="152" t="s">
        <v>14</v>
      </c>
      <c r="Y33" s="554"/>
      <c r="Z33" s="554"/>
    </row>
    <row r="34" spans="3:26" ht="18" customHeight="1">
      <c r="C34" s="153" t="s">
        <v>83</v>
      </c>
      <c r="D34" s="553" t="str">
        <f>IF($H$63=1,'Lizenz Nr.- Eingabe'!F40,#REF!)</f>
        <v>RSVL Gifhorn I</v>
      </c>
      <c r="E34" s="553"/>
      <c r="F34" s="553"/>
      <c r="G34" s="553"/>
      <c r="H34" s="553"/>
      <c r="I34" s="553"/>
      <c r="J34" s="553"/>
      <c r="K34" s="150" t="s">
        <v>85</v>
      </c>
      <c r="L34" s="553" t="str">
        <f>IF($H$63=1,'Lizenz Nr.- Eingabe'!K40,#REF!)</f>
        <v>RCG Hahndorf I</v>
      </c>
      <c r="M34" s="553"/>
      <c r="N34" s="553"/>
      <c r="O34" s="553"/>
      <c r="P34" s="553"/>
      <c r="Q34" s="553"/>
      <c r="R34" s="553"/>
      <c r="S34" s="553"/>
      <c r="T34" s="151"/>
      <c r="U34" s="151"/>
      <c r="V34" s="554"/>
      <c r="W34" s="554"/>
      <c r="X34" s="152" t="s">
        <v>14</v>
      </c>
      <c r="Y34" s="554"/>
      <c r="Z34" s="554"/>
    </row>
    <row r="35" spans="3:26" ht="18" customHeight="1">
      <c r="C35" s="149" t="s">
        <v>24</v>
      </c>
      <c r="D35" s="553" t="str">
        <f>IF($H$63=1,'Lizenz Nr.- Eingabe'!F41,#REF!)</f>
        <v>RVS Obernfeld I</v>
      </c>
      <c r="E35" s="553"/>
      <c r="F35" s="553"/>
      <c r="G35" s="553"/>
      <c r="H35" s="553"/>
      <c r="I35" s="553"/>
      <c r="J35" s="553"/>
      <c r="K35" s="150" t="s">
        <v>85</v>
      </c>
      <c r="L35" s="553" t="str">
        <f>IF($H$63=1,'Lizenz Nr.- Eingabe'!K41,#REF!)</f>
        <v>RVM Bilshausen II</v>
      </c>
      <c r="M35" s="553"/>
      <c r="N35" s="553"/>
      <c r="O35" s="553"/>
      <c r="P35" s="553"/>
      <c r="Q35" s="553"/>
      <c r="R35" s="553"/>
      <c r="S35" s="553"/>
      <c r="T35" s="151"/>
      <c r="U35" s="151"/>
      <c r="V35" s="554"/>
      <c r="W35" s="554"/>
      <c r="X35" s="152" t="s">
        <v>14</v>
      </c>
      <c r="Y35" s="554"/>
      <c r="Z35" s="554"/>
    </row>
    <row r="36" spans="3:26" ht="18" customHeight="1">
      <c r="C36" s="149" t="s">
        <v>25</v>
      </c>
      <c r="D36" s="553">
        <f>IF($H$63=1,'Lizenz Nr.- Eingabe'!F42,#REF!)</f>
      </c>
      <c r="E36" s="553"/>
      <c r="F36" s="553"/>
      <c r="G36" s="553"/>
      <c r="H36" s="553"/>
      <c r="I36" s="553"/>
      <c r="J36" s="553"/>
      <c r="K36" s="150" t="s">
        <v>85</v>
      </c>
      <c r="L36" s="553">
        <f>IF($H$63=1,'Lizenz Nr.- Eingabe'!K42,#REF!)</f>
      </c>
      <c r="M36" s="553"/>
      <c r="N36" s="553"/>
      <c r="O36" s="553"/>
      <c r="P36" s="553"/>
      <c r="Q36" s="553"/>
      <c r="R36" s="553"/>
      <c r="S36" s="553"/>
      <c r="T36" s="151"/>
      <c r="U36" s="151"/>
      <c r="V36" s="554"/>
      <c r="W36" s="554"/>
      <c r="X36" s="152" t="s">
        <v>14</v>
      </c>
      <c r="Y36" s="554"/>
      <c r="Z36" s="554"/>
    </row>
    <row r="37" spans="3:26" ht="18" customHeight="1">
      <c r="C37" s="153" t="s">
        <v>26</v>
      </c>
      <c r="D37" s="553">
        <f>IF($H$63=1,'Lizenz Nr.- Eingabe'!F43,#REF!)</f>
      </c>
      <c r="E37" s="553"/>
      <c r="F37" s="553"/>
      <c r="G37" s="553"/>
      <c r="H37" s="553"/>
      <c r="I37" s="553"/>
      <c r="J37" s="553"/>
      <c r="K37" s="150" t="s">
        <v>85</v>
      </c>
      <c r="L37" s="553">
        <f>IF($H$63=1,'Lizenz Nr.- Eingabe'!K43,#REF!)</f>
      </c>
      <c r="M37" s="553"/>
      <c r="N37" s="553"/>
      <c r="O37" s="553"/>
      <c r="P37" s="553"/>
      <c r="Q37" s="553"/>
      <c r="R37" s="553"/>
      <c r="S37" s="553"/>
      <c r="T37" s="151"/>
      <c r="U37" s="151"/>
      <c r="V37" s="554"/>
      <c r="W37" s="554"/>
      <c r="X37" s="152" t="s">
        <v>14</v>
      </c>
      <c r="Y37" s="554"/>
      <c r="Z37" s="554"/>
    </row>
    <row r="38" spans="3:26" ht="18" customHeight="1">
      <c r="C38" s="149" t="s">
        <v>27</v>
      </c>
      <c r="D38" s="553">
        <f>IF($H$63=1,'Lizenz Nr.- Eingabe'!F44,#REF!)</f>
      </c>
      <c r="E38" s="553"/>
      <c r="F38" s="553"/>
      <c r="G38" s="553"/>
      <c r="H38" s="553"/>
      <c r="I38" s="553"/>
      <c r="J38" s="553"/>
      <c r="K38" s="150" t="s">
        <v>85</v>
      </c>
      <c r="L38" s="553">
        <f>IF($H$63=1,'Lizenz Nr.- Eingabe'!K44,#REF!)</f>
      </c>
      <c r="M38" s="553"/>
      <c r="N38" s="553"/>
      <c r="O38" s="553"/>
      <c r="P38" s="553"/>
      <c r="Q38" s="553"/>
      <c r="R38" s="553"/>
      <c r="S38" s="553"/>
      <c r="T38" s="151"/>
      <c r="U38" s="151"/>
      <c r="V38" s="554"/>
      <c r="W38" s="554"/>
      <c r="X38" s="152" t="s">
        <v>14</v>
      </c>
      <c r="Y38" s="554"/>
      <c r="Z38" s="554"/>
    </row>
    <row r="39" spans="3:26" ht="18" customHeight="1">
      <c r="C39" s="149" t="s">
        <v>28</v>
      </c>
      <c r="D39" s="553">
        <f>IF($H$63=1,'Lizenz Nr.- Eingabe'!F45,#REF!)</f>
      </c>
      <c r="E39" s="553"/>
      <c r="F39" s="553"/>
      <c r="G39" s="553"/>
      <c r="H39" s="553"/>
      <c r="I39" s="553"/>
      <c r="J39" s="553"/>
      <c r="K39" s="150" t="s">
        <v>85</v>
      </c>
      <c r="L39" s="553">
        <f>IF($H$63=1,'Lizenz Nr.- Eingabe'!K45,#REF!)</f>
      </c>
      <c r="M39" s="553"/>
      <c r="N39" s="553"/>
      <c r="O39" s="553"/>
      <c r="P39" s="553"/>
      <c r="Q39" s="553"/>
      <c r="R39" s="553"/>
      <c r="S39" s="553"/>
      <c r="T39" s="151"/>
      <c r="U39" s="151"/>
      <c r="V39" s="554"/>
      <c r="W39" s="554"/>
      <c r="X39" s="152" t="s">
        <v>14</v>
      </c>
      <c r="Y39" s="554"/>
      <c r="Z39" s="554"/>
    </row>
    <row r="40" spans="3:26" ht="18" customHeight="1">
      <c r="C40" s="149" t="s">
        <v>29</v>
      </c>
      <c r="D40" s="553">
        <f>IF($H$63=1,'Lizenz Nr.- Eingabe'!W32,#REF!)</f>
      </c>
      <c r="E40" s="553"/>
      <c r="F40" s="553"/>
      <c r="G40" s="553"/>
      <c r="H40" s="553"/>
      <c r="I40" s="553"/>
      <c r="J40" s="553"/>
      <c r="K40" s="150" t="s">
        <v>85</v>
      </c>
      <c r="L40" s="553">
        <f>IF($H$63=1,'Lizenz Nr.- Eingabe'!AB32,#REF!)</f>
      </c>
      <c r="M40" s="553"/>
      <c r="N40" s="553"/>
      <c r="O40" s="553"/>
      <c r="P40" s="553"/>
      <c r="Q40" s="553"/>
      <c r="R40" s="553"/>
      <c r="S40" s="553"/>
      <c r="T40" s="151"/>
      <c r="U40" s="151"/>
      <c r="V40" s="554"/>
      <c r="W40" s="554"/>
      <c r="X40" s="152" t="s">
        <v>14</v>
      </c>
      <c r="Y40" s="554"/>
      <c r="Z40" s="554"/>
    </row>
    <row r="41" spans="3:27" ht="9.75" customHeight="1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3:27" ht="18.75" customHeight="1">
      <c r="C42" s="117" t="s">
        <v>155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3:27" ht="18.75" customHeight="1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3:27" ht="13.5" customHeight="1">
      <c r="C44" s="575" t="s">
        <v>154</v>
      </c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</row>
    <row r="45" spans="3:27" ht="3.75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3:27" ht="13.5" customHeight="1"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</row>
    <row r="47" ht="12" customHeight="1"/>
    <row r="48" spans="21:27" ht="14.25">
      <c r="U48" s="154"/>
      <c r="V48" s="154"/>
      <c r="W48" s="274"/>
      <c r="X48" s="274"/>
      <c r="Y48" s="274"/>
      <c r="Z48" s="274"/>
      <c r="AA48" s="274"/>
    </row>
    <row r="58" ht="12.75" customHeight="1"/>
    <row r="59" ht="12.75" customHeight="1"/>
    <row r="60" ht="12.75" customHeight="1"/>
    <row r="61" ht="12.75" customHeight="1"/>
    <row r="62" ht="12.75" customHeight="1" thickBot="1"/>
    <row r="63" spans="2:36" ht="12.75" customHeight="1">
      <c r="B63" s="580" t="s">
        <v>130</v>
      </c>
      <c r="C63" s="581"/>
      <c r="D63" s="581"/>
      <c r="E63" s="581"/>
      <c r="F63" s="581"/>
      <c r="G63" s="581"/>
      <c r="H63" s="584">
        <f>Optionen!Q19</f>
        <v>1</v>
      </c>
      <c r="I63" s="556" t="str">
        <f>IF(H63=1,"Lizenz Nr.- Eingabe","Hand - Eingabe")</f>
        <v>Lizenz Nr.- Eingabe</v>
      </c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7"/>
      <c r="AA63" s="557"/>
      <c r="AB63" s="557"/>
      <c r="AC63" s="557"/>
      <c r="AD63" s="557"/>
      <c r="AE63" s="557"/>
      <c r="AF63" s="557"/>
      <c r="AG63" s="557"/>
      <c r="AH63" s="557"/>
      <c r="AI63" s="557"/>
      <c r="AJ63" s="558"/>
    </row>
    <row r="64" spans="2:36" ht="12.75" customHeight="1" thickBot="1">
      <c r="B64" s="582"/>
      <c r="C64" s="583"/>
      <c r="D64" s="583"/>
      <c r="E64" s="583"/>
      <c r="F64" s="583"/>
      <c r="G64" s="583"/>
      <c r="H64" s="585"/>
      <c r="I64" s="559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1"/>
    </row>
    <row r="65" spans="2:36" ht="20.25" customHeight="1" thickBot="1">
      <c r="B65" s="566"/>
      <c r="C65" s="567"/>
      <c r="D65" s="567"/>
      <c r="E65" s="567"/>
      <c r="F65" s="568"/>
      <c r="G65" s="569" t="s">
        <v>131</v>
      </c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1"/>
      <c r="W65" s="572" t="s">
        <v>132</v>
      </c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4"/>
    </row>
    <row r="66" spans="1:36" ht="12.75" customHeight="1" thickBot="1">
      <c r="A66" s="155"/>
      <c r="B66" s="156" t="s">
        <v>56</v>
      </c>
      <c r="C66" s="562" t="s">
        <v>70</v>
      </c>
      <c r="D66" s="563"/>
      <c r="E66" s="592" t="s">
        <v>125</v>
      </c>
      <c r="F66" s="593"/>
      <c r="G66" s="592" t="s">
        <v>68</v>
      </c>
      <c r="H66" s="594"/>
      <c r="I66" s="592" t="s">
        <v>69</v>
      </c>
      <c r="J66" s="595"/>
      <c r="K66" s="596"/>
      <c r="L66" s="157" t="s">
        <v>126</v>
      </c>
      <c r="M66" s="157"/>
      <c r="N66" s="156" t="s">
        <v>127</v>
      </c>
      <c r="O66" s="592" t="s">
        <v>129</v>
      </c>
      <c r="P66" s="615"/>
      <c r="Q66" s="615"/>
      <c r="R66" s="615"/>
      <c r="S66" s="615"/>
      <c r="T66" s="615"/>
      <c r="U66" s="615"/>
      <c r="V66" s="594"/>
      <c r="W66" s="592" t="s">
        <v>46</v>
      </c>
      <c r="X66" s="607"/>
      <c r="Y66" s="607"/>
      <c r="Z66" s="607"/>
      <c r="AA66" s="607"/>
      <c r="AB66" s="593"/>
      <c r="AC66" s="592" t="s">
        <v>133</v>
      </c>
      <c r="AD66" s="607"/>
      <c r="AE66" s="607"/>
      <c r="AF66" s="607"/>
      <c r="AG66" s="607"/>
      <c r="AH66" s="607"/>
      <c r="AI66" s="607"/>
      <c r="AJ66" s="593"/>
    </row>
    <row r="67" spans="1:36" ht="12.75" customHeight="1">
      <c r="A67" s="155"/>
      <c r="B67" s="576">
        <v>1</v>
      </c>
      <c r="C67" s="578">
        <f>IF($H$63=1,'Lizenz Nr.- Eingabe'!AP15,#REF!)</f>
        <v>10127479404</v>
      </c>
      <c r="D67" s="579"/>
      <c r="E67" s="587" t="str">
        <f>IF(C67&gt;0,VLOOKUP(C67,'[1]Lizenzen'!$D$8:$K$2836,2,FALSE),"")</f>
        <v>NDS</v>
      </c>
      <c r="F67" s="588"/>
      <c r="G67" s="589" t="str">
        <f>IF(C67&gt;0,VLOOKUP(C67,'[1]Lizenzen'!D8:K2836,5,FALSE),"")</f>
        <v>Bock</v>
      </c>
      <c r="H67" s="354"/>
      <c r="I67" s="589" t="str">
        <f>IF(C67&gt;0,VLOOKUP(C67,'[1]Lizenzen'!$D$8:$K$2836,6,FALSE),"")</f>
        <v>Moritz</v>
      </c>
      <c r="J67" s="353"/>
      <c r="K67" s="354"/>
      <c r="L67" s="158" t="s">
        <v>67</v>
      </c>
      <c r="M67" s="158"/>
      <c r="N67" s="159" t="s">
        <v>128</v>
      </c>
      <c r="O67" s="611" t="str">
        <f>IF(C67&gt;0,CONCATENATE(I67,L67,G67,N67,I68,L67,G68),"")</f>
        <v>Moritz Bock / Jakob Wüstefeld</v>
      </c>
      <c r="P67" s="609"/>
      <c r="Q67" s="609"/>
      <c r="R67" s="609"/>
      <c r="S67" s="609"/>
      <c r="T67" s="609"/>
      <c r="U67" s="609"/>
      <c r="V67" s="610"/>
      <c r="W67" s="608">
        <f>IF(ISTEXT(#REF!),#REF!,"")</f>
      </c>
      <c r="X67" s="609"/>
      <c r="Y67" s="609"/>
      <c r="Z67" s="609"/>
      <c r="AA67" s="609"/>
      <c r="AB67" s="610"/>
      <c r="AC67" s="597">
        <f>IF(ISTEXT(#REF!),CONCATENATE(W67,N67,W68),"")</f>
      </c>
      <c r="AD67" s="598"/>
      <c r="AE67" s="598"/>
      <c r="AF67" s="598"/>
      <c r="AG67" s="598"/>
      <c r="AH67" s="598"/>
      <c r="AI67" s="598"/>
      <c r="AJ67" s="599"/>
    </row>
    <row r="68" spans="1:36" ht="12.75" customHeight="1" thickBot="1">
      <c r="A68" s="155"/>
      <c r="B68" s="586"/>
      <c r="C68" s="555">
        <f>IF($H$63=1,'Lizenz Nr.- Eingabe'!AP16,#REF!)</f>
        <v>10135862224</v>
      </c>
      <c r="D68" s="342"/>
      <c r="E68" s="564" t="str">
        <f>IF(C68&gt;0,VLOOKUP(C68,'[1]Lizenzen'!$D$8:$K$2836,2,FALSE),"")</f>
        <v>NDS</v>
      </c>
      <c r="F68" s="565"/>
      <c r="G68" s="590" t="str">
        <f>IF(C68&gt;0,VLOOKUP(C68,'[1]Lizenzen'!D8:K2837,5,FALSE),"")</f>
        <v>Wüstefeld</v>
      </c>
      <c r="H68" s="591"/>
      <c r="I68" s="590" t="str">
        <f>IF(C68&gt;0,VLOOKUP(C68,'[1]Lizenzen'!$D$8:$K$2836,6,FALSE),"")</f>
        <v>Jakob</v>
      </c>
      <c r="J68" s="603"/>
      <c r="K68" s="591"/>
      <c r="L68" s="160" t="s">
        <v>67</v>
      </c>
      <c r="M68" s="160"/>
      <c r="N68" s="161" t="s">
        <v>128</v>
      </c>
      <c r="O68" s="612"/>
      <c r="P68" s="613"/>
      <c r="Q68" s="613"/>
      <c r="R68" s="613"/>
      <c r="S68" s="613"/>
      <c r="T68" s="613"/>
      <c r="U68" s="613"/>
      <c r="V68" s="614"/>
      <c r="W68" s="604">
        <f>IF(ISTEXT(#REF!),#REF!,"")</f>
      </c>
      <c r="X68" s="605"/>
      <c r="Y68" s="605"/>
      <c r="Z68" s="605"/>
      <c r="AA68" s="605"/>
      <c r="AB68" s="606"/>
      <c r="AC68" s="600"/>
      <c r="AD68" s="601"/>
      <c r="AE68" s="601"/>
      <c r="AF68" s="601"/>
      <c r="AG68" s="601"/>
      <c r="AH68" s="601"/>
      <c r="AI68" s="601"/>
      <c r="AJ68" s="602"/>
    </row>
    <row r="69" spans="1:36" ht="12.75" customHeight="1">
      <c r="A69" s="155"/>
      <c r="B69" s="576">
        <v>2</v>
      </c>
      <c r="C69" s="578">
        <f>IF($H$63=1,'Lizenz Nr.- Eingabe'!AP17,#REF!)</f>
        <v>10135680045</v>
      </c>
      <c r="D69" s="579"/>
      <c r="E69" s="587" t="str">
        <f>IF(C69&gt;0,VLOOKUP(C69,'[1]Lizenzen'!$D$8:$K$2836,2,FALSE),"")</f>
        <v>NDS</v>
      </c>
      <c r="F69" s="588"/>
      <c r="G69" s="589" t="str">
        <f>IF(C69&gt;0,VLOOKUP(C69,'[1]Lizenzen'!D8:K2838,5,FALSE),"")</f>
        <v>Sieg</v>
      </c>
      <c r="H69" s="354"/>
      <c r="I69" s="589" t="str">
        <f>IF(C69&gt;0,VLOOKUP(C69,'[1]Lizenzen'!$D$8:$K$2836,6,FALSE),"")</f>
        <v>Richard</v>
      </c>
      <c r="J69" s="353"/>
      <c r="K69" s="354"/>
      <c r="L69" s="158" t="s">
        <v>67</v>
      </c>
      <c r="M69" s="158"/>
      <c r="N69" s="159" t="s">
        <v>128</v>
      </c>
      <c r="O69" s="611" t="str">
        <f>IF(C69&gt;0,CONCATENATE(I69,L69,G69,N69,I70,L69,G70),"")</f>
        <v>Richard Sieg / Jarik Strüber</v>
      </c>
      <c r="P69" s="609"/>
      <c r="Q69" s="609"/>
      <c r="R69" s="609"/>
      <c r="S69" s="609"/>
      <c r="T69" s="609"/>
      <c r="U69" s="609"/>
      <c r="V69" s="610"/>
      <c r="W69" s="616">
        <f>IF(ISTEXT(#REF!),#REF!,"")</f>
      </c>
      <c r="X69" s="617"/>
      <c r="Y69" s="617"/>
      <c r="Z69" s="617"/>
      <c r="AA69" s="617"/>
      <c r="AB69" s="618"/>
      <c r="AC69" s="597">
        <f>IF(ISTEXT(#REF!),CONCATENATE(W69,N69,W70),"")</f>
      </c>
      <c r="AD69" s="598"/>
      <c r="AE69" s="598"/>
      <c r="AF69" s="598"/>
      <c r="AG69" s="598"/>
      <c r="AH69" s="598"/>
      <c r="AI69" s="598"/>
      <c r="AJ69" s="599"/>
    </row>
    <row r="70" spans="1:36" ht="12.75" customHeight="1" thickBot="1">
      <c r="A70" s="155"/>
      <c r="B70" s="577"/>
      <c r="C70" s="555">
        <f>IF($H$63=1,'Lizenz Nr.- Eingabe'!AP18,#REF!)</f>
        <v>10135659534</v>
      </c>
      <c r="D70" s="342"/>
      <c r="E70" s="564" t="str">
        <f>IF(C70&gt;0,VLOOKUP(C70,'[1]Lizenzen'!$D$8:$K$2836,2,FALSE),"")</f>
        <v>NDS</v>
      </c>
      <c r="F70" s="565"/>
      <c r="G70" s="590" t="str">
        <f>IF(C70&gt;0,VLOOKUP(C70,'[1]Lizenzen'!D8:K2839,5,FALSE),"")</f>
        <v>Strüber</v>
      </c>
      <c r="H70" s="591"/>
      <c r="I70" s="590" t="str">
        <f>IF(C70&gt;0,VLOOKUP(C70,'[1]Lizenzen'!$D$8:$K$2836,6,FALSE),"")</f>
        <v>Jarik</v>
      </c>
      <c r="J70" s="603"/>
      <c r="K70" s="591"/>
      <c r="L70" s="160" t="s">
        <v>67</v>
      </c>
      <c r="M70" s="160"/>
      <c r="N70" s="161" t="s">
        <v>128</v>
      </c>
      <c r="O70" s="612"/>
      <c r="P70" s="613"/>
      <c r="Q70" s="613"/>
      <c r="R70" s="613"/>
      <c r="S70" s="613"/>
      <c r="T70" s="613"/>
      <c r="U70" s="613"/>
      <c r="V70" s="614"/>
      <c r="W70" s="604">
        <f>IF(ISTEXT(#REF!),#REF!,"")</f>
      </c>
      <c r="X70" s="605"/>
      <c r="Y70" s="605"/>
      <c r="Z70" s="605"/>
      <c r="AA70" s="605"/>
      <c r="AB70" s="606"/>
      <c r="AC70" s="600"/>
      <c r="AD70" s="601"/>
      <c r="AE70" s="601"/>
      <c r="AF70" s="601"/>
      <c r="AG70" s="601"/>
      <c r="AH70" s="601"/>
      <c r="AI70" s="601"/>
      <c r="AJ70" s="602"/>
    </row>
    <row r="71" spans="1:36" ht="12.75" customHeight="1">
      <c r="A71" s="155"/>
      <c r="B71" s="586">
        <v>3</v>
      </c>
      <c r="C71" s="578">
        <f>IF($H$63=1,'Lizenz Nr.- Eingabe'!AP19,#REF!)</f>
        <v>10144063168</v>
      </c>
      <c r="D71" s="579"/>
      <c r="E71" s="587" t="str">
        <f>IF(C71&gt;0,VLOOKUP(C71,'[1]Lizenzen'!$D$8:$K$2836,2,FALSE),"")</f>
        <v>NDS</v>
      </c>
      <c r="F71" s="588"/>
      <c r="G71" s="589" t="str">
        <f>IF(C71&gt;0,VLOOKUP(C71,'[1]Lizenzen'!D8:K2840,5,FALSE),"")</f>
        <v>Kriebel </v>
      </c>
      <c r="H71" s="354"/>
      <c r="I71" s="589" t="str">
        <f>IF(C71&gt;0,VLOOKUP(C71,'[1]Lizenzen'!$D$8:$K$2836,6,FALSE),"")</f>
        <v>Paul</v>
      </c>
      <c r="J71" s="353"/>
      <c r="K71" s="354"/>
      <c r="L71" s="158" t="s">
        <v>67</v>
      </c>
      <c r="M71" s="158"/>
      <c r="N71" s="159" t="s">
        <v>128</v>
      </c>
      <c r="O71" s="611" t="str">
        <f>IF(C71&gt;0,CONCATENATE(I71,L71,G71,N71,I72,L71,G72),"")</f>
        <v>Paul Kriebel  / Henri Brunken</v>
      </c>
      <c r="P71" s="609"/>
      <c r="Q71" s="609"/>
      <c r="R71" s="609"/>
      <c r="S71" s="609"/>
      <c r="T71" s="609"/>
      <c r="U71" s="609"/>
      <c r="V71" s="610"/>
      <c r="W71" s="616">
        <f>IF(ISTEXT(#REF!),#REF!,"")</f>
      </c>
      <c r="X71" s="617"/>
      <c r="Y71" s="617"/>
      <c r="Z71" s="617"/>
      <c r="AA71" s="617"/>
      <c r="AB71" s="618"/>
      <c r="AC71" s="597">
        <f>IF(ISTEXT(#REF!),CONCATENATE(W71,N71,W72),"")</f>
      </c>
      <c r="AD71" s="598"/>
      <c r="AE71" s="598"/>
      <c r="AF71" s="598"/>
      <c r="AG71" s="598"/>
      <c r="AH71" s="598"/>
      <c r="AI71" s="598"/>
      <c r="AJ71" s="599"/>
    </row>
    <row r="72" spans="1:36" ht="12.75" customHeight="1" thickBot="1">
      <c r="A72" s="155"/>
      <c r="B72" s="586"/>
      <c r="C72" s="555">
        <f>IF($H$63=1,'Lizenz Nr.- Eingabe'!AP20,#REF!)</f>
        <v>10144059431</v>
      </c>
      <c r="D72" s="342"/>
      <c r="E72" s="564" t="str">
        <f>IF(C72&gt;0,VLOOKUP(C72,'[1]Lizenzen'!$D$8:$K$2836,2,FALSE),"")</f>
        <v>NDS</v>
      </c>
      <c r="F72" s="565"/>
      <c r="G72" s="590" t="str">
        <f>IF(C72&gt;0,VLOOKUP(C72,'[1]Lizenzen'!D8:K2841,5,FALSE),"")</f>
        <v>Brunken</v>
      </c>
      <c r="H72" s="591"/>
      <c r="I72" s="590" t="str">
        <f>IF(C72&gt;0,VLOOKUP(C72,'[1]Lizenzen'!$D$8:$K$2836,6,FALSE),"")</f>
        <v>Henri</v>
      </c>
      <c r="J72" s="603"/>
      <c r="K72" s="591"/>
      <c r="L72" s="160" t="s">
        <v>67</v>
      </c>
      <c r="M72" s="160"/>
      <c r="N72" s="161" t="s">
        <v>128</v>
      </c>
      <c r="O72" s="612"/>
      <c r="P72" s="613"/>
      <c r="Q72" s="613"/>
      <c r="R72" s="613"/>
      <c r="S72" s="613"/>
      <c r="T72" s="613"/>
      <c r="U72" s="613"/>
      <c r="V72" s="614"/>
      <c r="W72" s="604">
        <f>IF(ISTEXT(#REF!),#REF!,"")</f>
      </c>
      <c r="X72" s="605"/>
      <c r="Y72" s="605"/>
      <c r="Z72" s="605"/>
      <c r="AA72" s="605"/>
      <c r="AB72" s="606"/>
      <c r="AC72" s="600"/>
      <c r="AD72" s="601"/>
      <c r="AE72" s="601"/>
      <c r="AF72" s="601"/>
      <c r="AG72" s="601"/>
      <c r="AH72" s="601"/>
      <c r="AI72" s="601"/>
      <c r="AJ72" s="602"/>
    </row>
    <row r="73" spans="1:36" ht="12.75" customHeight="1">
      <c r="A73" s="155"/>
      <c r="B73" s="576">
        <v>4</v>
      </c>
      <c r="C73" s="578">
        <f>IF($H$63=1,'Lizenz Nr.- Eingabe'!AP21,#REF!)</f>
        <v>10090010015</v>
      </c>
      <c r="D73" s="579"/>
      <c r="E73" s="587" t="str">
        <f>IF(C73&gt;0,VLOOKUP(C73,'[1]Lizenzen'!$D$8:$K$2836,2,FALSE),"")</f>
        <v>NDS</v>
      </c>
      <c r="F73" s="588"/>
      <c r="G73" s="589" t="str">
        <f>IF(C73&gt;0,VLOOKUP(C73,'[1]Lizenzen'!D8:K2842,5,FALSE),"")</f>
        <v>Faulhaber</v>
      </c>
      <c r="H73" s="354"/>
      <c r="I73" s="589" t="str">
        <f>IF(C73&gt;0,VLOOKUP(C73,'[1]Lizenzen'!$D$8:$K$2836,6,FALSE),"")</f>
        <v>Finn</v>
      </c>
      <c r="J73" s="353"/>
      <c r="K73" s="354"/>
      <c r="L73" s="158" t="s">
        <v>67</v>
      </c>
      <c r="M73" s="158"/>
      <c r="N73" s="159" t="s">
        <v>128</v>
      </c>
      <c r="O73" s="611" t="str">
        <f>IF(C73&gt;0,CONCATENATE(I73,L73,G73,N73,I74,L73,G74),"")</f>
        <v>Finn Faulhaber / Jonah Eliah Kroll</v>
      </c>
      <c r="P73" s="609"/>
      <c r="Q73" s="609"/>
      <c r="R73" s="609"/>
      <c r="S73" s="609"/>
      <c r="T73" s="609"/>
      <c r="U73" s="609"/>
      <c r="V73" s="610"/>
      <c r="W73" s="616">
        <f>IF(ISTEXT(#REF!),#REF!,"")</f>
      </c>
      <c r="X73" s="617"/>
      <c r="Y73" s="617"/>
      <c r="Z73" s="617"/>
      <c r="AA73" s="617"/>
      <c r="AB73" s="618"/>
      <c r="AC73" s="597">
        <f>IF(ISTEXT(#REF!),CONCATENATE(W73,N73,W74),"")</f>
      </c>
      <c r="AD73" s="598"/>
      <c r="AE73" s="598"/>
      <c r="AF73" s="598"/>
      <c r="AG73" s="598"/>
      <c r="AH73" s="598"/>
      <c r="AI73" s="598"/>
      <c r="AJ73" s="599"/>
    </row>
    <row r="74" spans="1:36" ht="12.75" customHeight="1" thickBot="1">
      <c r="A74" s="155"/>
      <c r="B74" s="577"/>
      <c r="C74" s="555">
        <f>IF($H$63=1,'Lizenz Nr.- Eingabe'!AP22,#REF!)</f>
        <v>10090010016</v>
      </c>
      <c r="D74" s="342"/>
      <c r="E74" s="564" t="str">
        <f>IF(C74&gt;0,VLOOKUP(C74,'[1]Lizenzen'!$D$8:$K$2836,2,FALSE),"")</f>
        <v>NDS</v>
      </c>
      <c r="F74" s="565"/>
      <c r="G74" s="590" t="str">
        <f>IF(C74&gt;0,VLOOKUP(C74,'[1]Lizenzen'!D8:K2843,5,FALSE),"")</f>
        <v>Kroll</v>
      </c>
      <c r="H74" s="591"/>
      <c r="I74" s="590" t="str">
        <f>IF(C74&gt;0,VLOOKUP(C74,'[1]Lizenzen'!$D$8:$K$2836,6,FALSE),"")</f>
        <v>Jonah Eliah</v>
      </c>
      <c r="J74" s="603"/>
      <c r="K74" s="591"/>
      <c r="L74" s="160" t="s">
        <v>67</v>
      </c>
      <c r="M74" s="160"/>
      <c r="N74" s="161" t="s">
        <v>128</v>
      </c>
      <c r="O74" s="612"/>
      <c r="P74" s="613"/>
      <c r="Q74" s="613"/>
      <c r="R74" s="613"/>
      <c r="S74" s="613"/>
      <c r="T74" s="613"/>
      <c r="U74" s="613"/>
      <c r="V74" s="614"/>
      <c r="W74" s="604">
        <f>IF(ISTEXT(#REF!),#REF!,"")</f>
      </c>
      <c r="X74" s="605"/>
      <c r="Y74" s="605"/>
      <c r="Z74" s="605"/>
      <c r="AA74" s="605"/>
      <c r="AB74" s="606"/>
      <c r="AC74" s="600"/>
      <c r="AD74" s="601"/>
      <c r="AE74" s="601"/>
      <c r="AF74" s="601"/>
      <c r="AG74" s="601"/>
      <c r="AH74" s="601"/>
      <c r="AI74" s="601"/>
      <c r="AJ74" s="602"/>
    </row>
    <row r="75" spans="1:36" ht="12.75" customHeight="1">
      <c r="A75" s="155"/>
      <c r="B75" s="586">
        <v>5</v>
      </c>
      <c r="C75" s="578">
        <f>IF($H$63=1,'Lizenz Nr.- Eingabe'!AP23,#REF!)</f>
        <v>10140027059</v>
      </c>
      <c r="D75" s="579"/>
      <c r="E75" s="587" t="str">
        <f>IF(C75&gt;0,VLOOKUP(C75,'[1]Lizenzen'!$D$8:$K$2836,2,FALSE),"")</f>
        <v>NDS</v>
      </c>
      <c r="F75" s="588"/>
      <c r="G75" s="589" t="str">
        <f>IF(C75&gt;0,VLOOKUP(C75,'[1]Lizenzen'!D8:K2844,5,FALSE),"")</f>
        <v>Fröhlich</v>
      </c>
      <c r="H75" s="354"/>
      <c r="I75" s="589" t="str">
        <f>IF(C75&gt;0,VLOOKUP(C75,'[1]Lizenzen'!$D$8:$K$2836,6,FALSE),"")</f>
        <v>Jaris</v>
      </c>
      <c r="J75" s="353"/>
      <c r="K75" s="354"/>
      <c r="L75" s="158" t="s">
        <v>67</v>
      </c>
      <c r="M75" s="158"/>
      <c r="N75" s="159" t="s">
        <v>128</v>
      </c>
      <c r="O75" s="611" t="str">
        <f>IF(C75&gt;0,CONCATENATE(I75,L75,G75,N75,I76,L75,G76),"")</f>
        <v>Jaris Fröhlich / Alexander Menzel</v>
      </c>
      <c r="P75" s="609"/>
      <c r="Q75" s="609"/>
      <c r="R75" s="609"/>
      <c r="S75" s="609"/>
      <c r="T75" s="609"/>
      <c r="U75" s="609"/>
      <c r="V75" s="610"/>
      <c r="W75" s="616">
        <f>IF(ISTEXT(#REF!),#REF!,"")</f>
      </c>
      <c r="X75" s="617"/>
      <c r="Y75" s="617"/>
      <c r="Z75" s="617"/>
      <c r="AA75" s="617"/>
      <c r="AB75" s="618"/>
      <c r="AC75" s="597">
        <f>IF(ISTEXT(#REF!),CONCATENATE(W75,N75,W76),"")</f>
      </c>
      <c r="AD75" s="598"/>
      <c r="AE75" s="598"/>
      <c r="AF75" s="598"/>
      <c r="AG75" s="598"/>
      <c r="AH75" s="598"/>
      <c r="AI75" s="598"/>
      <c r="AJ75" s="599"/>
    </row>
    <row r="76" spans="1:36" ht="12.75" customHeight="1" thickBot="1">
      <c r="A76" s="155"/>
      <c r="B76" s="586"/>
      <c r="C76" s="555">
        <f>IF($H$63=1,'Lizenz Nr.- Eingabe'!AP24,#REF!)</f>
        <v>10142622417</v>
      </c>
      <c r="D76" s="342"/>
      <c r="E76" s="564" t="str">
        <f>IF(C76&gt;0,VLOOKUP(C76,'[1]Lizenzen'!$D$8:$K$2836,2,FALSE),"")</f>
        <v>NDS</v>
      </c>
      <c r="F76" s="565"/>
      <c r="G76" s="590" t="str">
        <f>IF(C76&gt;0,VLOOKUP(C76,'[1]Lizenzen'!D8:K2845,5,FALSE),"")</f>
        <v>Menzel</v>
      </c>
      <c r="H76" s="591"/>
      <c r="I76" s="590" t="str">
        <f>IF(C76&gt;0,VLOOKUP(C76,'[1]Lizenzen'!$D$8:$K$2836,6,FALSE),"")</f>
        <v>Alexander</v>
      </c>
      <c r="J76" s="603"/>
      <c r="K76" s="591"/>
      <c r="L76" s="160" t="s">
        <v>67</v>
      </c>
      <c r="M76" s="160"/>
      <c r="N76" s="161" t="s">
        <v>128</v>
      </c>
      <c r="O76" s="612"/>
      <c r="P76" s="613"/>
      <c r="Q76" s="613"/>
      <c r="R76" s="613"/>
      <c r="S76" s="613"/>
      <c r="T76" s="613"/>
      <c r="U76" s="613"/>
      <c r="V76" s="614"/>
      <c r="W76" s="604">
        <f>IF(ISTEXT(#REF!),#REF!,"")</f>
      </c>
      <c r="X76" s="605"/>
      <c r="Y76" s="605"/>
      <c r="Z76" s="605"/>
      <c r="AA76" s="605"/>
      <c r="AB76" s="606"/>
      <c r="AC76" s="600"/>
      <c r="AD76" s="601"/>
      <c r="AE76" s="601"/>
      <c r="AF76" s="601"/>
      <c r="AG76" s="601"/>
      <c r="AH76" s="601"/>
      <c r="AI76" s="601"/>
      <c r="AJ76" s="602"/>
    </row>
    <row r="77" spans="1:36" ht="12.75" customHeight="1">
      <c r="A77" s="155"/>
      <c r="B77" s="576">
        <v>6</v>
      </c>
      <c r="C77" s="578">
        <f>IF($H$63=1,'Lizenz Nr.- Eingabe'!AP25,#REF!)</f>
        <v>0</v>
      </c>
      <c r="D77" s="579"/>
      <c r="E77" s="587">
        <f>IF(C77&gt;0,VLOOKUP(C77,'[1]Lizenzen'!$D$8:$K$2836,2,FALSE),"")</f>
      </c>
      <c r="F77" s="588"/>
      <c r="G77" s="589">
        <f>IF(C77&gt;0,VLOOKUP(C77,'[1]Lizenzen'!D8:K2846,5,FALSE),"")</f>
      </c>
      <c r="H77" s="354"/>
      <c r="I77" s="589">
        <f>IF(C77&gt;0,VLOOKUP(C77,'[1]Lizenzen'!$D$8:$K$2836,6,FALSE),"")</f>
      </c>
      <c r="J77" s="353"/>
      <c r="K77" s="354"/>
      <c r="L77" s="158" t="s">
        <v>67</v>
      </c>
      <c r="M77" s="158"/>
      <c r="N77" s="159" t="s">
        <v>128</v>
      </c>
      <c r="O77" s="611">
        <f>IF(C77&gt;0,CONCATENATE(I77,L77,G77,N77,I78,L77,G78),"")</f>
      </c>
      <c r="P77" s="609"/>
      <c r="Q77" s="609"/>
      <c r="R77" s="609"/>
      <c r="S77" s="609"/>
      <c r="T77" s="609"/>
      <c r="U77" s="609"/>
      <c r="V77" s="610"/>
      <c r="W77" s="616">
        <f>IF(ISTEXT(#REF!),#REF!,"")</f>
      </c>
      <c r="X77" s="617"/>
      <c r="Y77" s="617"/>
      <c r="Z77" s="617"/>
      <c r="AA77" s="617"/>
      <c r="AB77" s="618"/>
      <c r="AC77" s="597">
        <f>IF(ISTEXT(#REF!),CONCATENATE(W77,N77,W78),"")</f>
      </c>
      <c r="AD77" s="598"/>
      <c r="AE77" s="598"/>
      <c r="AF77" s="598"/>
      <c r="AG77" s="598"/>
      <c r="AH77" s="598"/>
      <c r="AI77" s="598"/>
      <c r="AJ77" s="599"/>
    </row>
    <row r="78" spans="1:36" ht="12.75" customHeight="1" thickBot="1">
      <c r="A78" s="155"/>
      <c r="B78" s="577"/>
      <c r="C78" s="555">
        <f>IF($H$63=1,'Lizenz Nr.- Eingabe'!AP26,#REF!)</f>
        <v>0</v>
      </c>
      <c r="D78" s="342"/>
      <c r="E78" s="564">
        <f>IF(C78&gt;0,VLOOKUP(C78,'[1]Lizenzen'!$D$8:$K$2836,2,FALSE),"")</f>
      </c>
      <c r="F78" s="565"/>
      <c r="G78" s="590">
        <f>IF(C78&gt;0,VLOOKUP(C78,'[1]Lizenzen'!D8:K2847,5,FALSE),"")</f>
      </c>
      <c r="H78" s="591"/>
      <c r="I78" s="590">
        <f>IF(C78&gt;0,VLOOKUP(C78,'[1]Lizenzen'!$D$8:$K$2836,6,FALSE),"")</f>
      </c>
      <c r="J78" s="603"/>
      <c r="K78" s="591"/>
      <c r="L78" s="160" t="s">
        <v>67</v>
      </c>
      <c r="M78" s="160"/>
      <c r="N78" s="161" t="s">
        <v>128</v>
      </c>
      <c r="O78" s="612"/>
      <c r="P78" s="613"/>
      <c r="Q78" s="613"/>
      <c r="R78" s="613"/>
      <c r="S78" s="613"/>
      <c r="T78" s="613"/>
      <c r="U78" s="613"/>
      <c r="V78" s="614"/>
      <c r="W78" s="604">
        <f>IF(ISTEXT(#REF!),#REF!,"")</f>
      </c>
      <c r="X78" s="605"/>
      <c r="Y78" s="605"/>
      <c r="Z78" s="605"/>
      <c r="AA78" s="605"/>
      <c r="AB78" s="606"/>
      <c r="AC78" s="600"/>
      <c r="AD78" s="601"/>
      <c r="AE78" s="601"/>
      <c r="AF78" s="601"/>
      <c r="AG78" s="601"/>
      <c r="AH78" s="601"/>
      <c r="AI78" s="601"/>
      <c r="AJ78" s="602"/>
    </row>
    <row r="79" spans="1:36" ht="12.75" customHeight="1">
      <c r="A79" s="155"/>
      <c r="B79" s="576">
        <v>7</v>
      </c>
      <c r="C79" s="578">
        <f>IF($H$63=1,'Lizenz Nr.- Eingabe'!AP27,#REF!)</f>
        <v>0</v>
      </c>
      <c r="D79" s="579"/>
      <c r="E79" s="587">
        <f>IF(C79&gt;0,VLOOKUP(C79,'[1]Lizenzen'!$D$8:$K$2836,2,FALSE),"")</f>
      </c>
      <c r="F79" s="588"/>
      <c r="G79" s="589">
        <f>IF(C79&gt;0,VLOOKUP(C79,'[1]Lizenzen'!D8:K2848,5,FALSE),"")</f>
      </c>
      <c r="H79" s="354"/>
      <c r="I79" s="589">
        <f>IF(C79&gt;0,VLOOKUP(C79,'[1]Lizenzen'!$D$8:$K$2836,6,FALSE),"")</f>
      </c>
      <c r="J79" s="353"/>
      <c r="K79" s="354"/>
      <c r="L79" s="158" t="s">
        <v>67</v>
      </c>
      <c r="M79" s="158"/>
      <c r="N79" s="159" t="s">
        <v>128</v>
      </c>
      <c r="O79" s="611">
        <f>IF(C79&gt;0,CONCATENATE(I79,L79,G79,N79,I80,L79,G80),"")</f>
      </c>
      <c r="P79" s="609"/>
      <c r="Q79" s="609"/>
      <c r="R79" s="609"/>
      <c r="S79" s="609"/>
      <c r="T79" s="609"/>
      <c r="U79" s="609"/>
      <c r="V79" s="610"/>
      <c r="W79" s="616">
        <f>IF(ISTEXT(#REF!),#REF!,"")</f>
      </c>
      <c r="X79" s="617"/>
      <c r="Y79" s="617"/>
      <c r="Z79" s="617"/>
      <c r="AA79" s="617"/>
      <c r="AB79" s="618"/>
      <c r="AC79" s="597">
        <f>IF(ISTEXT(#REF!),CONCATENATE(W79,N79,W80),"")</f>
      </c>
      <c r="AD79" s="598"/>
      <c r="AE79" s="598"/>
      <c r="AF79" s="598"/>
      <c r="AG79" s="598"/>
      <c r="AH79" s="598"/>
      <c r="AI79" s="598"/>
      <c r="AJ79" s="599"/>
    </row>
    <row r="80" spans="1:36" ht="12.75" customHeight="1" thickBot="1">
      <c r="A80" s="155"/>
      <c r="B80" s="577"/>
      <c r="C80" s="555">
        <f>IF($H$63=1,'Lizenz Nr.- Eingabe'!AP28,#REF!)</f>
        <v>0</v>
      </c>
      <c r="D80" s="342"/>
      <c r="E80" s="564">
        <f>IF(C80&gt;0,VLOOKUP(C80,'[1]Lizenzen'!$D$8:$K$2836,2,FALSE),"")</f>
      </c>
      <c r="F80" s="565"/>
      <c r="G80" s="590">
        <f>IF(C80&gt;0,VLOOKUP(C80,'[1]Lizenzen'!D8:K2849,5,FALSE),"")</f>
      </c>
      <c r="H80" s="591"/>
      <c r="I80" s="590">
        <f>IF(C80&gt;0,VLOOKUP(C80,'[1]Lizenzen'!$D$8:$K$2836,6,FALSE),"")</f>
      </c>
      <c r="J80" s="603"/>
      <c r="K80" s="591"/>
      <c r="L80" s="160" t="s">
        <v>67</v>
      </c>
      <c r="M80" s="160"/>
      <c r="N80" s="161" t="s">
        <v>128</v>
      </c>
      <c r="O80" s="612"/>
      <c r="P80" s="613"/>
      <c r="Q80" s="613"/>
      <c r="R80" s="613"/>
      <c r="S80" s="613"/>
      <c r="T80" s="613"/>
      <c r="U80" s="613"/>
      <c r="V80" s="614"/>
      <c r="W80" s="604">
        <f>IF(ISTEXT(#REF!),#REF!,"")</f>
      </c>
      <c r="X80" s="605"/>
      <c r="Y80" s="605"/>
      <c r="Z80" s="605"/>
      <c r="AA80" s="605"/>
      <c r="AB80" s="606"/>
      <c r="AC80" s="600"/>
      <c r="AD80" s="601"/>
      <c r="AE80" s="601"/>
      <c r="AF80" s="601"/>
      <c r="AG80" s="601"/>
      <c r="AH80" s="601"/>
      <c r="AI80" s="601"/>
      <c r="AJ80" s="602"/>
    </row>
    <row r="81" spans="1:36" ht="12.75" customHeight="1">
      <c r="A81" s="155"/>
      <c r="B81" s="586">
        <v>8</v>
      </c>
      <c r="C81" s="578">
        <f>IF($H$63=1,'Lizenz Nr.- Eingabe'!AP29,#REF!)</f>
        <v>0</v>
      </c>
      <c r="D81" s="579"/>
      <c r="E81" s="587">
        <f>IF(C81&gt;0,VLOOKUP(C81,'[1]Lizenzen'!$D$8:$K$2836,2,FALSE),"")</f>
      </c>
      <c r="F81" s="588"/>
      <c r="G81" s="589">
        <f>IF(C81&gt;0,VLOOKUP(C81,'[1]Lizenzen'!D8:K2850,5,FALSE),"")</f>
      </c>
      <c r="H81" s="354"/>
      <c r="I81" s="589">
        <f>IF(C81&gt;0,VLOOKUP(C81,'[1]Lizenzen'!$D$8:$K$2836,6,FALSE),"")</f>
      </c>
      <c r="J81" s="353"/>
      <c r="K81" s="354"/>
      <c r="L81" s="158" t="s">
        <v>67</v>
      </c>
      <c r="M81" s="158"/>
      <c r="N81" s="159" t="s">
        <v>128</v>
      </c>
      <c r="O81" s="611">
        <f>IF(C81&gt;0,CONCATENATE(I81,L81,G81,N81,I82,L81,G82),"")</f>
      </c>
      <c r="P81" s="609"/>
      <c r="Q81" s="609"/>
      <c r="R81" s="609"/>
      <c r="S81" s="609"/>
      <c r="T81" s="609"/>
      <c r="U81" s="609"/>
      <c r="V81" s="610"/>
      <c r="W81" s="616">
        <f>IF(ISTEXT(#REF!),#REF!,"")</f>
      </c>
      <c r="X81" s="617"/>
      <c r="Y81" s="617"/>
      <c r="Z81" s="617"/>
      <c r="AA81" s="617"/>
      <c r="AB81" s="618"/>
      <c r="AC81" s="597">
        <f>IF(ISTEXT(#REF!),CONCATENATE(W81,N81,W82),"")</f>
      </c>
      <c r="AD81" s="598"/>
      <c r="AE81" s="598"/>
      <c r="AF81" s="598"/>
      <c r="AG81" s="598"/>
      <c r="AH81" s="598"/>
      <c r="AI81" s="598"/>
      <c r="AJ81" s="599"/>
    </row>
    <row r="82" spans="1:36" ht="12.75" customHeight="1" thickBot="1">
      <c r="A82" s="155"/>
      <c r="B82" s="577"/>
      <c r="C82" s="555">
        <f>IF($H$63=1,'Lizenz Nr.- Eingabe'!AP30,#REF!)</f>
        <v>0</v>
      </c>
      <c r="D82" s="342"/>
      <c r="E82" s="564">
        <f>IF(C82&gt;0,VLOOKUP(C82,'[1]Lizenzen'!$D$8:$K$2836,2,FALSE),"")</f>
      </c>
      <c r="F82" s="565"/>
      <c r="G82" s="590">
        <f>IF(C82&gt;0,VLOOKUP(C82,'[1]Lizenzen'!D8:K2851,5,FALSE),"")</f>
      </c>
      <c r="H82" s="591"/>
      <c r="I82" s="590">
        <f>IF(C82&gt;0,VLOOKUP(C82,'[1]Lizenzen'!$D$8:$K$2836,6,FALSE),"")</f>
      </c>
      <c r="J82" s="603"/>
      <c r="K82" s="591"/>
      <c r="L82" s="160" t="s">
        <v>67</v>
      </c>
      <c r="M82" s="160"/>
      <c r="N82" s="161" t="s">
        <v>128</v>
      </c>
      <c r="O82" s="612"/>
      <c r="P82" s="613"/>
      <c r="Q82" s="613"/>
      <c r="R82" s="613"/>
      <c r="S82" s="613"/>
      <c r="T82" s="613"/>
      <c r="U82" s="613"/>
      <c r="V82" s="614"/>
      <c r="W82" s="604">
        <f>IF(ISTEXT(#REF!),#REF!,"")</f>
      </c>
      <c r="X82" s="605"/>
      <c r="Y82" s="605"/>
      <c r="Z82" s="605"/>
      <c r="AA82" s="605"/>
      <c r="AB82" s="606"/>
      <c r="AC82" s="600"/>
      <c r="AD82" s="601"/>
      <c r="AE82" s="601"/>
      <c r="AF82" s="601"/>
      <c r="AG82" s="601"/>
      <c r="AH82" s="601"/>
      <c r="AI82" s="601"/>
      <c r="AJ82" s="602"/>
    </row>
    <row r="83" ht="12.75" customHeight="1"/>
    <row r="84" ht="12.75" customHeight="1"/>
    <row r="85" ht="12.75" customHeight="1"/>
  </sheetData>
  <sheetProtection/>
  <mergeCells count="205">
    <mergeCell ref="D39:J39"/>
    <mergeCell ref="Y40:Z40"/>
    <mergeCell ref="V36:W36"/>
    <mergeCell ref="V39:W39"/>
    <mergeCell ref="Y39:Z39"/>
    <mergeCell ref="L36:S36"/>
    <mergeCell ref="L37:S37"/>
    <mergeCell ref="L38:S38"/>
    <mergeCell ref="L40:S40"/>
    <mergeCell ref="V40:W40"/>
    <mergeCell ref="Q8:AA8"/>
    <mergeCell ref="C3:AA3"/>
    <mergeCell ref="C4:AA4"/>
    <mergeCell ref="C5:AA5"/>
    <mergeCell ref="C7:AA7"/>
    <mergeCell ref="D35:J35"/>
    <mergeCell ref="L35:S35"/>
    <mergeCell ref="V35:W35"/>
    <mergeCell ref="Y35:Z35"/>
    <mergeCell ref="L34:S34"/>
    <mergeCell ref="I81:K81"/>
    <mergeCell ref="O81:V82"/>
    <mergeCell ref="W81:AB81"/>
    <mergeCell ref="I79:K79"/>
    <mergeCell ref="O79:V80"/>
    <mergeCell ref="W80:AB80"/>
    <mergeCell ref="W79:AB79"/>
    <mergeCell ref="B77:B78"/>
    <mergeCell ref="C77:D77"/>
    <mergeCell ref="E77:F77"/>
    <mergeCell ref="G77:H77"/>
    <mergeCell ref="C78:D78"/>
    <mergeCell ref="E78:F78"/>
    <mergeCell ref="G78:H78"/>
    <mergeCell ref="G80:H80"/>
    <mergeCell ref="G79:H79"/>
    <mergeCell ref="AC79:AJ80"/>
    <mergeCell ref="I80:K80"/>
    <mergeCell ref="B79:B80"/>
    <mergeCell ref="C79:D79"/>
    <mergeCell ref="C80:D80"/>
    <mergeCell ref="E79:F79"/>
    <mergeCell ref="E80:F80"/>
    <mergeCell ref="W77:AB77"/>
    <mergeCell ref="AC77:AJ78"/>
    <mergeCell ref="I78:K78"/>
    <mergeCell ref="W78:AB78"/>
    <mergeCell ref="I77:K77"/>
    <mergeCell ref="O77:V78"/>
    <mergeCell ref="AC81:AJ82"/>
    <mergeCell ref="I82:K82"/>
    <mergeCell ref="W82:AB82"/>
    <mergeCell ref="B81:B82"/>
    <mergeCell ref="C81:D81"/>
    <mergeCell ref="E81:F81"/>
    <mergeCell ref="G81:H81"/>
    <mergeCell ref="C82:D82"/>
    <mergeCell ref="E82:F82"/>
    <mergeCell ref="G82:H82"/>
    <mergeCell ref="I75:K75"/>
    <mergeCell ref="O75:V76"/>
    <mergeCell ref="W75:AB75"/>
    <mergeCell ref="AC75:AJ76"/>
    <mergeCell ref="I76:K76"/>
    <mergeCell ref="W76:AB76"/>
    <mergeCell ref="B75:B76"/>
    <mergeCell ref="C75:D75"/>
    <mergeCell ref="E75:F75"/>
    <mergeCell ref="G75:H75"/>
    <mergeCell ref="C76:D76"/>
    <mergeCell ref="E76:F76"/>
    <mergeCell ref="G76:H76"/>
    <mergeCell ref="B73:B74"/>
    <mergeCell ref="C73:D73"/>
    <mergeCell ref="E73:F73"/>
    <mergeCell ref="G73:H73"/>
    <mergeCell ref="C74:D74"/>
    <mergeCell ref="E74:F74"/>
    <mergeCell ref="G74:H74"/>
    <mergeCell ref="W73:AB73"/>
    <mergeCell ref="AC73:AJ74"/>
    <mergeCell ref="I74:K74"/>
    <mergeCell ref="W74:AB74"/>
    <mergeCell ref="I73:K73"/>
    <mergeCell ref="O73:V74"/>
    <mergeCell ref="B71:B72"/>
    <mergeCell ref="C71:D71"/>
    <mergeCell ref="E71:F71"/>
    <mergeCell ref="G71:H71"/>
    <mergeCell ref="C72:D72"/>
    <mergeCell ref="E72:F72"/>
    <mergeCell ref="G72:H72"/>
    <mergeCell ref="W68:AB68"/>
    <mergeCell ref="AC66:AJ66"/>
    <mergeCell ref="I67:K67"/>
    <mergeCell ref="I71:K71"/>
    <mergeCell ref="O71:V72"/>
    <mergeCell ref="W71:AB71"/>
    <mergeCell ref="O69:V70"/>
    <mergeCell ref="W69:AB69"/>
    <mergeCell ref="I70:K70"/>
    <mergeCell ref="W70:AB70"/>
    <mergeCell ref="AC71:AJ72"/>
    <mergeCell ref="I72:K72"/>
    <mergeCell ref="W72:AB72"/>
    <mergeCell ref="W66:AB66"/>
    <mergeCell ref="AC69:AJ70"/>
    <mergeCell ref="W67:AB67"/>
    <mergeCell ref="AC67:AJ68"/>
    <mergeCell ref="O67:V68"/>
    <mergeCell ref="O66:V66"/>
    <mergeCell ref="I68:K68"/>
    <mergeCell ref="G68:H68"/>
    <mergeCell ref="E66:F66"/>
    <mergeCell ref="G66:H66"/>
    <mergeCell ref="I66:K66"/>
    <mergeCell ref="G70:H70"/>
    <mergeCell ref="I69:K69"/>
    <mergeCell ref="E69:F69"/>
    <mergeCell ref="G69:H69"/>
    <mergeCell ref="C46:AA46"/>
    <mergeCell ref="W48:AA48"/>
    <mergeCell ref="B63:G64"/>
    <mergeCell ref="H63:H64"/>
    <mergeCell ref="B67:B68"/>
    <mergeCell ref="C67:D67"/>
    <mergeCell ref="E67:F67"/>
    <mergeCell ref="G67:H67"/>
    <mergeCell ref="C68:D68"/>
    <mergeCell ref="E68:F68"/>
    <mergeCell ref="D40:J40"/>
    <mergeCell ref="Y38:Z38"/>
    <mergeCell ref="C66:D66"/>
    <mergeCell ref="E70:F70"/>
    <mergeCell ref="B65:F65"/>
    <mergeCell ref="G65:V65"/>
    <mergeCell ref="W65:AJ65"/>
    <mergeCell ref="C44:AA44"/>
    <mergeCell ref="B69:B70"/>
    <mergeCell ref="C69:D69"/>
    <mergeCell ref="C70:D70"/>
    <mergeCell ref="D34:J34"/>
    <mergeCell ref="D38:J38"/>
    <mergeCell ref="I63:AJ64"/>
    <mergeCell ref="V38:W38"/>
    <mergeCell ref="L39:S39"/>
    <mergeCell ref="V34:W34"/>
    <mergeCell ref="Y34:Z34"/>
    <mergeCell ref="Y36:Z36"/>
    <mergeCell ref="V37:W37"/>
    <mergeCell ref="Y37:Z37"/>
    <mergeCell ref="D36:J36"/>
    <mergeCell ref="D37:J37"/>
    <mergeCell ref="D30:J30"/>
    <mergeCell ref="L30:S30"/>
    <mergeCell ref="V30:W30"/>
    <mergeCell ref="Y30:Z30"/>
    <mergeCell ref="D31:J31"/>
    <mergeCell ref="L31:S31"/>
    <mergeCell ref="V31:W31"/>
    <mergeCell ref="Y31:Z31"/>
    <mergeCell ref="D33:J33"/>
    <mergeCell ref="L33:S33"/>
    <mergeCell ref="V33:W33"/>
    <mergeCell ref="Y33:Z33"/>
    <mergeCell ref="D32:J32"/>
    <mergeCell ref="L32:S32"/>
    <mergeCell ref="V32:W32"/>
    <mergeCell ref="Y32:Z32"/>
    <mergeCell ref="D27:J27"/>
    <mergeCell ref="L27:S27"/>
    <mergeCell ref="V27:W27"/>
    <mergeCell ref="Y27:Z27"/>
    <mergeCell ref="D26:J26"/>
    <mergeCell ref="L26:S26"/>
    <mergeCell ref="V26:W26"/>
    <mergeCell ref="Y26:Z26"/>
    <mergeCell ref="D29:J29"/>
    <mergeCell ref="L29:S29"/>
    <mergeCell ref="V29:W29"/>
    <mergeCell ref="Y29:Z29"/>
    <mergeCell ref="D28:J28"/>
    <mergeCell ref="L28:S28"/>
    <mergeCell ref="V28:W28"/>
    <mergeCell ref="Y28:Z28"/>
    <mergeCell ref="C24:F24"/>
    <mergeCell ref="D21:J21"/>
    <mergeCell ref="P21:AA21"/>
    <mergeCell ref="D19:J19"/>
    <mergeCell ref="P19:AA19"/>
    <mergeCell ref="D20:J20"/>
    <mergeCell ref="P20:AA20"/>
    <mergeCell ref="C14:N14"/>
    <mergeCell ref="D18:J18"/>
    <mergeCell ref="P18:AA18"/>
    <mergeCell ref="D16:J16"/>
    <mergeCell ref="P16:AA16"/>
    <mergeCell ref="D17:J17"/>
    <mergeCell ref="P17:AA17"/>
    <mergeCell ref="Q9:AA9"/>
    <mergeCell ref="Q10:AA10"/>
    <mergeCell ref="Q11:AA11"/>
    <mergeCell ref="X14:Z14"/>
    <mergeCell ref="U14:W14"/>
    <mergeCell ref="Q12:AA12"/>
  </mergeCells>
  <conditionalFormatting sqref="D16:J16">
    <cfRule type="expression" priority="1" dxfId="0" stopIfTrue="1">
      <formula>$D$16=0</formula>
    </cfRule>
  </conditionalFormatting>
  <conditionalFormatting sqref="D17:J17">
    <cfRule type="expression" priority="2" dxfId="0" stopIfTrue="1">
      <formula>$D$17=0</formula>
    </cfRule>
  </conditionalFormatting>
  <conditionalFormatting sqref="D18:J18">
    <cfRule type="expression" priority="3" dxfId="0" stopIfTrue="1">
      <formula>$D$18=0</formula>
    </cfRule>
  </conditionalFormatting>
  <conditionalFormatting sqref="D19:J19">
    <cfRule type="expression" priority="4" dxfId="0" stopIfTrue="1">
      <formula>$D$19=0</formula>
    </cfRule>
  </conditionalFormatting>
  <conditionalFormatting sqref="X14:Z14">
    <cfRule type="expression" priority="5" dxfId="0" stopIfTrue="1">
      <formula>$X$14=0</formula>
    </cfRule>
  </conditionalFormatting>
  <conditionalFormatting sqref="P16:AA16">
    <cfRule type="expression" priority="6" dxfId="0" stopIfTrue="1">
      <formula>$P$16=0</formula>
    </cfRule>
  </conditionalFormatting>
  <conditionalFormatting sqref="P17:AA17">
    <cfRule type="expression" priority="7" dxfId="0" stopIfTrue="1">
      <formula>$P$17=0</formula>
    </cfRule>
  </conditionalFormatting>
  <conditionalFormatting sqref="P18:AA18">
    <cfRule type="expression" priority="8" dxfId="0" stopIfTrue="1">
      <formula>$P$18=0</formula>
    </cfRule>
  </conditionalFormatting>
  <conditionalFormatting sqref="P19:AA19">
    <cfRule type="expression" priority="9" dxfId="0" stopIfTrue="1">
      <formula>$P$19=0</formula>
    </cfRule>
  </conditionalFormatting>
  <conditionalFormatting sqref="P20:AA20">
    <cfRule type="expression" priority="10" dxfId="0" stopIfTrue="1">
      <formula>$P$20=0</formula>
    </cfRule>
  </conditionalFormatting>
  <conditionalFormatting sqref="D21:J21">
    <cfRule type="expression" priority="11" dxfId="0" stopIfTrue="1">
      <formula>$D$21=0</formula>
    </cfRule>
  </conditionalFormatting>
  <conditionalFormatting sqref="D20:J20">
    <cfRule type="expression" priority="12" dxfId="0" stopIfTrue="1">
      <formula>$D$20=0</formula>
    </cfRule>
  </conditionalFormatting>
  <conditionalFormatting sqref="P21:AA21">
    <cfRule type="expression" priority="13" dxfId="0" stopIfTrue="1">
      <formula>$P$21=0</formula>
    </cfRule>
  </conditionalFormatting>
  <printOptions horizontalCentered="1"/>
  <pageMargins left="0.984251968503937" right="0.5905511811023623" top="0.5905511811023623" bottom="0.7874015748031497" header="0" footer="0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5" sqref="M5"/>
    </sheetView>
  </sheetViews>
  <sheetFormatPr defaultColWidth="11.421875" defaultRowHeight="12.75"/>
  <cols>
    <col min="2" max="2" width="11.421875" style="235" customWidth="1"/>
    <col min="3" max="3" width="21.140625" style="0" customWidth="1"/>
    <col min="4" max="4" width="6.7109375" style="235" customWidth="1"/>
    <col min="5" max="5" width="19.7109375" style="0" customWidth="1"/>
    <col min="8" max="8" width="11.421875" style="132" customWidth="1"/>
  </cols>
  <sheetData>
    <row r="1" spans="1:9" ht="30" customHeight="1">
      <c r="A1" s="626" t="s">
        <v>204</v>
      </c>
      <c r="B1" s="626"/>
      <c r="C1" s="626"/>
      <c r="D1" s="626"/>
      <c r="E1" s="626"/>
      <c r="F1" s="626"/>
      <c r="G1" s="626"/>
      <c r="H1" s="626"/>
      <c r="I1" s="626"/>
    </row>
    <row r="2" spans="1:9" ht="30" customHeight="1">
      <c r="A2" s="627" t="s">
        <v>184</v>
      </c>
      <c r="B2" s="627"/>
      <c r="C2" s="627"/>
      <c r="D2" s="627"/>
      <c r="E2" s="627"/>
      <c r="F2" s="627"/>
      <c r="G2" s="627"/>
      <c r="H2" s="627"/>
      <c r="I2" s="627"/>
    </row>
    <row r="3" ht="30" customHeight="1"/>
    <row r="4" spans="1:9" s="273" customFormat="1" ht="39.75" customHeight="1">
      <c r="A4" s="270" t="s">
        <v>15</v>
      </c>
      <c r="B4" s="133" t="s">
        <v>173</v>
      </c>
      <c r="C4" s="133" t="s">
        <v>185</v>
      </c>
      <c r="D4" s="136" t="s">
        <v>85</v>
      </c>
      <c r="E4" s="133" t="s">
        <v>186</v>
      </c>
      <c r="F4" s="271"/>
      <c r="G4" s="271"/>
      <c r="H4" s="134" t="s">
        <v>14</v>
      </c>
      <c r="I4" s="272"/>
    </row>
    <row r="5" spans="1:9" s="273" customFormat="1" ht="39.75" customHeight="1">
      <c r="A5" s="270" t="s">
        <v>16</v>
      </c>
      <c r="B5" s="133" t="s">
        <v>173</v>
      </c>
      <c r="C5" s="133" t="s">
        <v>182</v>
      </c>
      <c r="D5" s="136" t="s">
        <v>85</v>
      </c>
      <c r="E5" s="133" t="s">
        <v>202</v>
      </c>
      <c r="F5" s="271"/>
      <c r="G5" s="271"/>
      <c r="H5" s="134" t="s">
        <v>14</v>
      </c>
      <c r="I5" s="272"/>
    </row>
    <row r="6" spans="1:9" s="273" customFormat="1" ht="39.75" customHeight="1">
      <c r="A6" s="270" t="s">
        <v>17</v>
      </c>
      <c r="B6" s="135" t="s">
        <v>205</v>
      </c>
      <c r="C6" s="135" t="s">
        <v>169</v>
      </c>
      <c r="D6" s="134" t="s">
        <v>85</v>
      </c>
      <c r="E6" s="135" t="s">
        <v>206</v>
      </c>
      <c r="F6" s="135"/>
      <c r="G6" s="135"/>
      <c r="H6" s="134" t="s">
        <v>14</v>
      </c>
      <c r="I6" s="261"/>
    </row>
    <row r="7" spans="1:9" s="273" customFormat="1" ht="39.75" customHeight="1">
      <c r="A7" s="270" t="s">
        <v>18</v>
      </c>
      <c r="B7" s="193" t="s">
        <v>173</v>
      </c>
      <c r="C7" s="193" t="s">
        <v>203</v>
      </c>
      <c r="D7" s="136" t="s">
        <v>85</v>
      </c>
      <c r="E7" s="193" t="s">
        <v>186</v>
      </c>
      <c r="F7" s="271"/>
      <c r="G7" s="271"/>
      <c r="H7" s="134" t="s">
        <v>14</v>
      </c>
      <c r="I7" s="272"/>
    </row>
    <row r="8" spans="1:9" s="273" customFormat="1" ht="39.75" customHeight="1">
      <c r="A8" s="270" t="s">
        <v>19</v>
      </c>
      <c r="B8" s="133" t="s">
        <v>173</v>
      </c>
      <c r="C8" s="133" t="s">
        <v>185</v>
      </c>
      <c r="D8" s="136" t="s">
        <v>85</v>
      </c>
      <c r="E8" s="133" t="s">
        <v>202</v>
      </c>
      <c r="F8" s="271"/>
      <c r="G8" s="271"/>
      <c r="H8" s="134" t="s">
        <v>14</v>
      </c>
      <c r="I8" s="272"/>
    </row>
    <row r="9" spans="1:9" s="273" customFormat="1" ht="39.75" customHeight="1">
      <c r="A9" s="270" t="s">
        <v>20</v>
      </c>
      <c r="B9" s="135" t="s">
        <v>205</v>
      </c>
      <c r="C9" s="135" t="s">
        <v>207</v>
      </c>
      <c r="D9" s="134" t="s">
        <v>85</v>
      </c>
      <c r="E9" s="135" t="s">
        <v>202</v>
      </c>
      <c r="F9" s="135"/>
      <c r="G9" s="135"/>
      <c r="H9" s="134" t="s">
        <v>14</v>
      </c>
      <c r="I9" s="261"/>
    </row>
    <row r="10" spans="1:9" s="273" customFormat="1" ht="39.75" customHeight="1">
      <c r="A10" s="270" t="s">
        <v>21</v>
      </c>
      <c r="B10" s="133" t="s">
        <v>173</v>
      </c>
      <c r="C10" s="133" t="s">
        <v>182</v>
      </c>
      <c r="D10" s="136" t="s">
        <v>85</v>
      </c>
      <c r="E10" s="133" t="s">
        <v>203</v>
      </c>
      <c r="F10" s="271"/>
      <c r="G10" s="271"/>
      <c r="H10" s="134" t="s">
        <v>14</v>
      </c>
      <c r="I10" s="272"/>
    </row>
    <row r="11" spans="1:9" s="273" customFormat="1" ht="39.75" customHeight="1">
      <c r="A11" s="270" t="s">
        <v>22</v>
      </c>
      <c r="B11" s="133" t="s">
        <v>173</v>
      </c>
      <c r="C11" s="133" t="s">
        <v>202</v>
      </c>
      <c r="D11" s="136" t="s">
        <v>85</v>
      </c>
      <c r="E11" s="133" t="s">
        <v>186</v>
      </c>
      <c r="F11" s="271"/>
      <c r="G11" s="271"/>
      <c r="H11" s="134" t="s">
        <v>14</v>
      </c>
      <c r="I11" s="272"/>
    </row>
    <row r="12" spans="1:9" s="273" customFormat="1" ht="39.75" customHeight="1">
      <c r="A12" s="270" t="s">
        <v>23</v>
      </c>
      <c r="B12" s="135" t="s">
        <v>205</v>
      </c>
      <c r="C12" s="135" t="s">
        <v>169</v>
      </c>
      <c r="D12" s="134" t="s">
        <v>85</v>
      </c>
      <c r="E12" s="135" t="s">
        <v>202</v>
      </c>
      <c r="F12" s="135"/>
      <c r="G12" s="135"/>
      <c r="H12" s="134" t="s">
        <v>14</v>
      </c>
      <c r="I12" s="261"/>
    </row>
    <row r="13" spans="1:9" s="273" customFormat="1" ht="39.75" customHeight="1">
      <c r="A13" s="270" t="s">
        <v>24</v>
      </c>
      <c r="B13" s="133" t="s">
        <v>173</v>
      </c>
      <c r="C13" s="133" t="s">
        <v>185</v>
      </c>
      <c r="D13" s="136" t="s">
        <v>85</v>
      </c>
      <c r="E13" s="133" t="s">
        <v>203</v>
      </c>
      <c r="F13" s="271"/>
      <c r="G13" s="271"/>
      <c r="H13" s="134" t="s">
        <v>14</v>
      </c>
      <c r="I13" s="272"/>
    </row>
    <row r="14" spans="1:9" s="273" customFormat="1" ht="39.75" customHeight="1">
      <c r="A14" s="270" t="s">
        <v>25</v>
      </c>
      <c r="B14" s="133" t="s">
        <v>173</v>
      </c>
      <c r="C14" s="133" t="s">
        <v>182</v>
      </c>
      <c r="D14" s="136" t="s">
        <v>85</v>
      </c>
      <c r="E14" s="133" t="s">
        <v>186</v>
      </c>
      <c r="F14" s="271"/>
      <c r="G14" s="271"/>
      <c r="H14" s="134" t="s">
        <v>14</v>
      </c>
      <c r="I14" s="272"/>
    </row>
    <row r="15" spans="1:9" s="273" customFormat="1" ht="39.75" customHeight="1">
      <c r="A15" s="270" t="s">
        <v>26</v>
      </c>
      <c r="B15" s="236" t="s">
        <v>205</v>
      </c>
      <c r="C15" s="236" t="s">
        <v>207</v>
      </c>
      <c r="D15" s="262" t="s">
        <v>85</v>
      </c>
      <c r="E15" s="236" t="s">
        <v>206</v>
      </c>
      <c r="F15" s="135"/>
      <c r="G15" s="135"/>
      <c r="H15" s="134" t="s">
        <v>14</v>
      </c>
      <c r="I15" s="261"/>
    </row>
    <row r="16" spans="1:9" s="273" customFormat="1" ht="39.75" customHeight="1">
      <c r="A16" s="270" t="s">
        <v>27</v>
      </c>
      <c r="B16" s="133" t="s">
        <v>173</v>
      </c>
      <c r="C16" s="133" t="s">
        <v>202</v>
      </c>
      <c r="D16" s="136" t="s">
        <v>85</v>
      </c>
      <c r="E16" s="133" t="s">
        <v>203</v>
      </c>
      <c r="F16" s="271"/>
      <c r="G16" s="271"/>
      <c r="H16" s="134" t="s">
        <v>14</v>
      </c>
      <c r="I16" s="272"/>
    </row>
    <row r="17" spans="1:9" s="273" customFormat="1" ht="39.75" customHeight="1">
      <c r="A17" s="270" t="s">
        <v>28</v>
      </c>
      <c r="B17" s="135" t="s">
        <v>205</v>
      </c>
      <c r="C17" s="135" t="s">
        <v>202</v>
      </c>
      <c r="D17" s="134" t="s">
        <v>85</v>
      </c>
      <c r="E17" s="135" t="s">
        <v>206</v>
      </c>
      <c r="F17" s="135"/>
      <c r="G17" s="135"/>
      <c r="H17" s="134" t="s">
        <v>14</v>
      </c>
      <c r="I17" s="261"/>
    </row>
    <row r="18" spans="1:9" s="273" customFormat="1" ht="39.75" customHeight="1">
      <c r="A18" s="270" t="s">
        <v>29</v>
      </c>
      <c r="B18" s="133" t="s">
        <v>173</v>
      </c>
      <c r="C18" s="133" t="s">
        <v>185</v>
      </c>
      <c r="D18" s="136" t="s">
        <v>85</v>
      </c>
      <c r="E18" s="133" t="s">
        <v>182</v>
      </c>
      <c r="F18" s="271"/>
      <c r="G18" s="271"/>
      <c r="H18" s="134" t="s">
        <v>14</v>
      </c>
      <c r="I18" s="272"/>
    </row>
    <row r="19" spans="1:9" s="273" customFormat="1" ht="39.75" customHeight="1">
      <c r="A19" s="270" t="s">
        <v>30</v>
      </c>
      <c r="B19" s="236" t="s">
        <v>205</v>
      </c>
      <c r="C19" s="236" t="s">
        <v>169</v>
      </c>
      <c r="D19" s="134" t="s">
        <v>85</v>
      </c>
      <c r="E19" s="236" t="s">
        <v>207</v>
      </c>
      <c r="F19" s="135"/>
      <c r="G19" s="135"/>
      <c r="H19" s="134" t="s">
        <v>14</v>
      </c>
      <c r="I19" s="261"/>
    </row>
    <row r="20" spans="1:9" s="273" customFormat="1" ht="39.75" customHeight="1">
      <c r="A20" s="270" t="s">
        <v>31</v>
      </c>
      <c r="B20" s="133"/>
      <c r="C20" s="133"/>
      <c r="D20" s="136" t="s">
        <v>85</v>
      </c>
      <c r="E20" s="133"/>
      <c r="F20" s="271"/>
      <c r="G20" s="271"/>
      <c r="H20" s="134" t="s">
        <v>14</v>
      </c>
      <c r="I20" s="272"/>
    </row>
    <row r="21" spans="1:9" s="273" customFormat="1" ht="39.75" customHeight="1">
      <c r="A21" s="270" t="s">
        <v>32</v>
      </c>
      <c r="B21" s="133"/>
      <c r="C21" s="133"/>
      <c r="D21" s="136" t="s">
        <v>85</v>
      </c>
      <c r="E21" s="133"/>
      <c r="F21" s="271"/>
      <c r="G21" s="271"/>
      <c r="H21" s="134" t="s">
        <v>14</v>
      </c>
      <c r="I21" s="272"/>
    </row>
    <row r="22" spans="1:9" s="273" customFormat="1" ht="39.75" customHeight="1">
      <c r="A22" s="270" t="s">
        <v>33</v>
      </c>
      <c r="B22" s="133"/>
      <c r="C22" s="133"/>
      <c r="D22" s="136" t="s">
        <v>85</v>
      </c>
      <c r="E22" s="133"/>
      <c r="F22" s="271"/>
      <c r="G22" s="271"/>
      <c r="H22" s="134" t="s">
        <v>14</v>
      </c>
      <c r="I22" s="272"/>
    </row>
    <row r="23" spans="1:9" s="273" customFormat="1" ht="39.75" customHeight="1">
      <c r="A23" s="270" t="s">
        <v>34</v>
      </c>
      <c r="B23" s="133"/>
      <c r="C23" s="133"/>
      <c r="D23" s="136" t="s">
        <v>85</v>
      </c>
      <c r="E23" s="133"/>
      <c r="F23" s="271"/>
      <c r="G23" s="271"/>
      <c r="H23" s="134" t="s">
        <v>14</v>
      </c>
      <c r="I23" s="272"/>
    </row>
    <row r="24" spans="1:9" ht="40.5" customHeight="1">
      <c r="A24" s="270" t="s">
        <v>35</v>
      </c>
      <c r="B24" s="133"/>
      <c r="C24" s="133"/>
      <c r="D24" s="136" t="s">
        <v>85</v>
      </c>
      <c r="E24" s="133"/>
      <c r="F24" s="271"/>
      <c r="G24" s="271"/>
      <c r="H24" s="134" t="s">
        <v>14</v>
      </c>
      <c r="I24" s="272"/>
    </row>
    <row r="25" spans="1:9" ht="39.75" customHeight="1">
      <c r="A25" s="270" t="s">
        <v>36</v>
      </c>
      <c r="B25" s="133"/>
      <c r="C25" s="133"/>
      <c r="D25" s="136" t="s">
        <v>85</v>
      </c>
      <c r="E25" s="133"/>
      <c r="F25" s="271"/>
      <c r="G25" s="271"/>
      <c r="H25" s="134" t="s">
        <v>14</v>
      </c>
      <c r="I25" s="272"/>
    </row>
    <row r="26" spans="1:9" ht="39.75" customHeight="1">
      <c r="A26" s="270" t="s">
        <v>37</v>
      </c>
      <c r="B26" s="133"/>
      <c r="C26" s="133"/>
      <c r="D26" s="136" t="s">
        <v>85</v>
      </c>
      <c r="E26" s="133"/>
      <c r="F26" s="271"/>
      <c r="G26" s="271"/>
      <c r="H26" s="134" t="s">
        <v>14</v>
      </c>
      <c r="I26" s="272"/>
    </row>
    <row r="27" spans="1:9" ht="39.75" customHeight="1">
      <c r="A27" s="270" t="s">
        <v>38</v>
      </c>
      <c r="B27" s="133"/>
      <c r="C27" s="133"/>
      <c r="D27" s="136" t="s">
        <v>85</v>
      </c>
      <c r="E27" s="133"/>
      <c r="F27" s="271"/>
      <c r="G27" s="271"/>
      <c r="H27" s="134" t="s">
        <v>14</v>
      </c>
      <c r="I27" s="272"/>
    </row>
    <row r="28" spans="1:9" ht="39.75" customHeight="1">
      <c r="A28" s="270" t="s">
        <v>39</v>
      </c>
      <c r="B28" s="133"/>
      <c r="C28" s="133"/>
      <c r="D28" s="136" t="s">
        <v>85</v>
      </c>
      <c r="E28" s="133"/>
      <c r="F28" s="271"/>
      <c r="G28" s="271"/>
      <c r="H28" s="134" t="s">
        <v>14</v>
      </c>
      <c r="I28" s="272"/>
    </row>
    <row r="29" spans="1:9" ht="39.75" customHeight="1">
      <c r="A29" s="270" t="s">
        <v>40</v>
      </c>
      <c r="B29" s="133"/>
      <c r="C29" s="133"/>
      <c r="D29" s="136" t="s">
        <v>85</v>
      </c>
      <c r="E29" s="133"/>
      <c r="F29" s="271"/>
      <c r="G29" s="271"/>
      <c r="H29" s="134" t="s">
        <v>14</v>
      </c>
      <c r="I29" s="272"/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B24" sqref="AB24"/>
    </sheetView>
  </sheetViews>
  <sheetFormatPr defaultColWidth="11.421875" defaultRowHeight="12.75"/>
  <cols>
    <col min="1" max="1" width="11.421875" style="191" customWidth="1"/>
    <col min="2" max="2" width="4.7109375" style="191" customWidth="1"/>
    <col min="3" max="3" width="1.8515625" style="192" customWidth="1"/>
    <col min="4" max="4" width="4.7109375" style="191" customWidth="1"/>
    <col min="5" max="5" width="6.421875" style="191" customWidth="1"/>
    <col min="6" max="6" width="4.7109375" style="191" customWidth="1"/>
    <col min="7" max="7" width="1.8515625" style="192" customWidth="1"/>
    <col min="8" max="8" width="4.7109375" style="191" customWidth="1"/>
    <col min="9" max="9" width="6.421875" style="191" customWidth="1"/>
    <col min="10" max="10" width="4.7109375" style="191" customWidth="1"/>
    <col min="11" max="11" width="1.8515625" style="192" customWidth="1"/>
    <col min="12" max="12" width="4.7109375" style="191" customWidth="1"/>
    <col min="13" max="13" width="6.421875" style="191" customWidth="1"/>
    <col min="14" max="14" width="4.7109375" style="191" customWidth="1"/>
    <col min="15" max="15" width="1.8515625" style="192" customWidth="1"/>
    <col min="16" max="16" width="4.7109375" style="191" customWidth="1"/>
    <col min="17" max="17" width="6.421875" style="191" customWidth="1"/>
    <col min="18" max="18" width="4.7109375" style="191" customWidth="1"/>
    <col min="19" max="19" width="1.8515625" style="192" customWidth="1"/>
    <col min="20" max="20" width="4.7109375" style="191" customWidth="1"/>
    <col min="21" max="21" width="6.421875" style="191" customWidth="1"/>
    <col min="22" max="22" width="4.7109375" style="191" customWidth="1"/>
    <col min="23" max="23" width="1.8515625" style="192" customWidth="1"/>
    <col min="24" max="24" width="4.7109375" style="191" customWidth="1"/>
    <col min="25" max="25" width="6.421875" style="191" customWidth="1"/>
    <col min="26" max="16384" width="11.421875" style="191" customWidth="1"/>
  </cols>
  <sheetData>
    <row r="1" spans="1:25" ht="12.75">
      <c r="A1" s="200" t="s">
        <v>164</v>
      </c>
      <c r="B1" s="628" t="s">
        <v>185</v>
      </c>
      <c r="C1" s="633"/>
      <c r="D1" s="633"/>
      <c r="E1" s="634"/>
      <c r="F1" s="628" t="s">
        <v>182</v>
      </c>
      <c r="G1" s="633"/>
      <c r="H1" s="633"/>
      <c r="I1" s="634"/>
      <c r="J1" s="628" t="s">
        <v>186</v>
      </c>
      <c r="K1" s="629"/>
      <c r="L1" s="629"/>
      <c r="M1" s="630"/>
      <c r="N1" s="628" t="s">
        <v>202</v>
      </c>
      <c r="O1" s="629"/>
      <c r="P1" s="629"/>
      <c r="Q1" s="630"/>
      <c r="R1" s="628" t="s">
        <v>203</v>
      </c>
      <c r="S1" s="629"/>
      <c r="T1" s="629"/>
      <c r="U1" s="630"/>
      <c r="V1" s="628"/>
      <c r="W1" s="629"/>
      <c r="X1" s="629"/>
      <c r="Y1" s="630"/>
    </row>
    <row r="2" spans="1:25" ht="13.5" thickBot="1">
      <c r="A2" s="201" t="s">
        <v>183</v>
      </c>
      <c r="B2" s="631" t="s">
        <v>9</v>
      </c>
      <c r="C2" s="632"/>
      <c r="D2" s="632"/>
      <c r="E2" s="202" t="s">
        <v>10</v>
      </c>
      <c r="F2" s="631" t="s">
        <v>9</v>
      </c>
      <c r="G2" s="632"/>
      <c r="H2" s="632"/>
      <c r="I2" s="202" t="s">
        <v>10</v>
      </c>
      <c r="J2" s="631" t="s">
        <v>9</v>
      </c>
      <c r="K2" s="632"/>
      <c r="L2" s="632"/>
      <c r="M2" s="202" t="s">
        <v>10</v>
      </c>
      <c r="N2" s="631" t="s">
        <v>9</v>
      </c>
      <c r="O2" s="632"/>
      <c r="P2" s="632"/>
      <c r="Q2" s="202" t="s">
        <v>10</v>
      </c>
      <c r="R2" s="631" t="s">
        <v>9</v>
      </c>
      <c r="S2" s="632"/>
      <c r="T2" s="632"/>
      <c r="U2" s="202" t="s">
        <v>10</v>
      </c>
      <c r="V2" s="631" t="s">
        <v>9</v>
      </c>
      <c r="W2" s="632"/>
      <c r="X2" s="632"/>
      <c r="Y2" s="202" t="s">
        <v>10</v>
      </c>
    </row>
    <row r="3" spans="1:25" ht="15">
      <c r="A3" s="203"/>
      <c r="B3" s="204">
        <v>6</v>
      </c>
      <c r="C3" s="205" t="s">
        <v>14</v>
      </c>
      <c r="D3" s="206">
        <v>1</v>
      </c>
      <c r="E3" s="207">
        <f>IF(B3="","",IF(B3&gt;D3,3,IF(B3=D3,1,0)))</f>
        <v>3</v>
      </c>
      <c r="F3" s="204">
        <v>3</v>
      </c>
      <c r="G3" s="205" t="s">
        <v>14</v>
      </c>
      <c r="H3" s="206">
        <v>1</v>
      </c>
      <c r="I3" s="207">
        <f>IF(F3="","",IF(F3&gt;H3,3,IF(F3=H3,1,0)))</f>
        <v>3</v>
      </c>
      <c r="J3" s="204">
        <v>1</v>
      </c>
      <c r="K3" s="205" t="s">
        <v>14</v>
      </c>
      <c r="L3" s="206">
        <v>6</v>
      </c>
      <c r="M3" s="209">
        <f>IF(J3="","",IF(J3&gt;L3,3,IF(J3=L3,1,0)))</f>
        <v>0</v>
      </c>
      <c r="N3" s="204">
        <v>1</v>
      </c>
      <c r="O3" s="205" t="s">
        <v>14</v>
      </c>
      <c r="P3" s="206">
        <v>3</v>
      </c>
      <c r="Q3" s="209">
        <f>IF(N3="","",IF(N3&gt;P3,3,IF(N3=P3,1,0)))</f>
        <v>0</v>
      </c>
      <c r="R3" s="204">
        <v>0</v>
      </c>
      <c r="S3" s="205" t="s">
        <v>14</v>
      </c>
      <c r="T3" s="206">
        <v>6</v>
      </c>
      <c r="U3" s="209">
        <f>IF(R3="","",IF(R3&gt;T3,3,IF(R3=T3,1,0)))</f>
        <v>0</v>
      </c>
      <c r="V3" s="204"/>
      <c r="W3" s="205" t="s">
        <v>14</v>
      </c>
      <c r="X3" s="208"/>
      <c r="Y3" s="209">
        <f>IF(V3="","",IF(V3&gt;X3,3,IF(V3=X3,1,0)))</f>
      </c>
    </row>
    <row r="4" spans="1:25" ht="15">
      <c r="A4" s="203"/>
      <c r="B4" s="210">
        <v>3</v>
      </c>
      <c r="C4" s="211" t="s">
        <v>14</v>
      </c>
      <c r="D4" s="212">
        <v>0</v>
      </c>
      <c r="E4" s="213">
        <f>IF(B4="","",IF(B4&gt;D4,3,IF(B4=D4,1,0)))</f>
        <v>3</v>
      </c>
      <c r="F4" s="210">
        <v>10</v>
      </c>
      <c r="G4" s="211" t="s">
        <v>14</v>
      </c>
      <c r="H4" s="212">
        <v>0</v>
      </c>
      <c r="I4" s="213">
        <f>IF(F4="","",IF(F4&gt;H4,3,IF(F4=H4,1,0)))</f>
        <v>3</v>
      </c>
      <c r="J4" s="210">
        <v>6</v>
      </c>
      <c r="K4" s="211" t="s">
        <v>14</v>
      </c>
      <c r="L4" s="212">
        <v>0</v>
      </c>
      <c r="M4" s="215">
        <f>IF(J4="","",IF(J4&gt;L4,3,IF(J4=L4,1,0)))</f>
        <v>3</v>
      </c>
      <c r="N4" s="210">
        <v>0</v>
      </c>
      <c r="O4" s="211" t="s">
        <v>14</v>
      </c>
      <c r="P4" s="212">
        <v>3</v>
      </c>
      <c r="Q4" s="215">
        <f>IF(N4="","",IF(N4&gt;P4,3,IF(N4=P4,1,0)))</f>
        <v>0</v>
      </c>
      <c r="R4" s="210">
        <v>0</v>
      </c>
      <c r="S4" s="211" t="s">
        <v>14</v>
      </c>
      <c r="T4" s="212">
        <v>10</v>
      </c>
      <c r="U4" s="215">
        <f>IF(R4="","",IF(R4&gt;T4,3,IF(R4=T4,1,0)))</f>
        <v>0</v>
      </c>
      <c r="V4" s="210"/>
      <c r="W4" s="211" t="s">
        <v>14</v>
      </c>
      <c r="X4" s="214"/>
      <c r="Y4" s="215">
        <f>IF(V4="","",IF(V4&gt;X4,3,IF(V4=X4,1,0)))</f>
      </c>
    </row>
    <row r="5" spans="1:25" ht="15">
      <c r="A5" s="203"/>
      <c r="B5" s="210">
        <v>8</v>
      </c>
      <c r="C5" s="211" t="s">
        <v>14</v>
      </c>
      <c r="D5" s="212">
        <v>0</v>
      </c>
      <c r="E5" s="213">
        <f>IF(B5="","",IF(B5&gt;D5,3,IF(B5=D5,1,0)))</f>
        <v>3</v>
      </c>
      <c r="F5" s="210">
        <v>1</v>
      </c>
      <c r="G5" s="211" t="s">
        <v>14</v>
      </c>
      <c r="H5" s="212">
        <v>0</v>
      </c>
      <c r="I5" s="213">
        <f>IF(F5="","",IF(F5&gt;H5,3,IF(F5=H5,1,0)))</f>
        <v>3</v>
      </c>
      <c r="J5" s="210">
        <v>3</v>
      </c>
      <c r="K5" s="211" t="s">
        <v>14</v>
      </c>
      <c r="L5" s="212">
        <v>0</v>
      </c>
      <c r="M5" s="215">
        <f>IF(J5="","",IF(J5&gt;L5,3,IF(J5=L5,1,0)))</f>
        <v>3</v>
      </c>
      <c r="N5" s="210">
        <v>0</v>
      </c>
      <c r="O5" s="211" t="s">
        <v>14</v>
      </c>
      <c r="P5" s="212">
        <v>3</v>
      </c>
      <c r="Q5" s="215">
        <f>IF(N5="","",IF(N5&gt;P5,3,IF(N5=P5,1,0)))</f>
        <v>0</v>
      </c>
      <c r="R5" s="210">
        <v>0</v>
      </c>
      <c r="S5" s="211" t="s">
        <v>14</v>
      </c>
      <c r="T5" s="212">
        <v>8</v>
      </c>
      <c r="U5" s="215">
        <f>IF(R5="","",IF(R5&gt;T5,3,IF(R5=T5,1,0)))</f>
        <v>0</v>
      </c>
      <c r="V5" s="210"/>
      <c r="W5" s="211" t="s">
        <v>14</v>
      </c>
      <c r="X5" s="214"/>
      <c r="Y5" s="215">
        <f>IF(V5="","",IF(V5&gt;X5,3,IF(V5=X5,1,0)))</f>
      </c>
    </row>
    <row r="6" spans="1:25" ht="15">
      <c r="A6" s="203"/>
      <c r="B6" s="210">
        <v>3</v>
      </c>
      <c r="C6" s="211" t="s">
        <v>14</v>
      </c>
      <c r="D6" s="212">
        <v>2</v>
      </c>
      <c r="E6" s="213">
        <f>IF(B6="","",IF(B6&gt;D6,3,IF(B6=D6,1,0)))</f>
        <v>3</v>
      </c>
      <c r="F6" s="210">
        <v>2</v>
      </c>
      <c r="G6" s="211" t="s">
        <v>14</v>
      </c>
      <c r="H6" s="212">
        <v>3</v>
      </c>
      <c r="I6" s="213">
        <f>IF(F6="","",IF(F6&gt;H6,3,IF(F6=H6,1,0)))</f>
        <v>0</v>
      </c>
      <c r="J6" s="210">
        <v>0</v>
      </c>
      <c r="K6" s="211" t="s">
        <v>14</v>
      </c>
      <c r="L6" s="212">
        <v>1</v>
      </c>
      <c r="M6" s="215">
        <f>IF(J6="","",IF(J6&gt;L6,3,IF(J6=L6,1,0)))</f>
        <v>0</v>
      </c>
      <c r="N6" s="210">
        <v>2</v>
      </c>
      <c r="O6" s="211" t="s">
        <v>14</v>
      </c>
      <c r="P6" s="212">
        <v>0</v>
      </c>
      <c r="Q6" s="215">
        <f>IF(N6="","",IF(N6&gt;P6,3,IF(N6=P6,1,0)))</f>
        <v>3</v>
      </c>
      <c r="R6" s="210">
        <v>0</v>
      </c>
      <c r="S6" s="211" t="s">
        <v>14</v>
      </c>
      <c r="T6" s="212">
        <v>2</v>
      </c>
      <c r="U6" s="215">
        <f>IF(R6="","",IF(R6&gt;T6,3,IF(R6=T6,1,0)))</f>
        <v>0</v>
      </c>
      <c r="V6" s="210"/>
      <c r="W6" s="211" t="s">
        <v>14</v>
      </c>
      <c r="X6" s="214"/>
      <c r="Y6" s="215">
        <f>IF(V6="","",IF(V6&gt;X6,3,IF(V6=X6,1,0)))</f>
      </c>
    </row>
    <row r="7" spans="1:25" ht="15.75" thickBot="1">
      <c r="A7" s="203"/>
      <c r="B7" s="216"/>
      <c r="C7" s="217" t="s">
        <v>14</v>
      </c>
      <c r="D7" s="218"/>
      <c r="E7" s="219">
        <f>IF(B7="","",IF(B7&gt;D7,3,IF(B7=D7,1,0)))</f>
      </c>
      <c r="F7" s="216"/>
      <c r="G7" s="217" t="s">
        <v>14</v>
      </c>
      <c r="H7" s="218"/>
      <c r="I7" s="219">
        <f>IF(F7="","",IF(F7&gt;H7,3,IF(F7=H7,1,0)))</f>
      </c>
      <c r="J7" s="216"/>
      <c r="K7" s="217" t="s">
        <v>14</v>
      </c>
      <c r="L7" s="218"/>
      <c r="M7" s="221">
        <f>IF(J7="","",IF(J7&gt;L7,3,IF(J7=L7,1,0)))</f>
      </c>
      <c r="N7" s="216"/>
      <c r="O7" s="217" t="s">
        <v>14</v>
      </c>
      <c r="P7" s="218"/>
      <c r="Q7" s="221">
        <f>IF(N7="","",IF(N7&gt;P7,3,IF(N7=P7,1,0)))</f>
      </c>
      <c r="R7" s="216"/>
      <c r="S7" s="217" t="s">
        <v>14</v>
      </c>
      <c r="T7" s="218"/>
      <c r="U7" s="221">
        <f>IF(R7="","",IF(R7&gt;T7,3,IF(R7=T7,1,0)))</f>
      </c>
      <c r="V7" s="216"/>
      <c r="W7" s="217" t="s">
        <v>14</v>
      </c>
      <c r="X7" s="220"/>
      <c r="Y7" s="221">
        <f>IF(V7="","",IF(V7&gt;X7,3,IF(V7=X7,1,0)))</f>
      </c>
    </row>
    <row r="8" spans="1:25" ht="13.5" thickBot="1">
      <c r="A8" s="222" t="s">
        <v>165</v>
      </c>
      <c r="B8" s="223">
        <f>SUM(B3:B7)</f>
        <v>20</v>
      </c>
      <c r="C8" s="224" t="s">
        <v>14</v>
      </c>
      <c r="D8" s="225">
        <f>SUM(D3:D7)</f>
        <v>3</v>
      </c>
      <c r="E8" s="224">
        <f>SUM(E3:E7)</f>
        <v>12</v>
      </c>
      <c r="F8" s="223">
        <f>SUM(F3:F7)</f>
        <v>16</v>
      </c>
      <c r="G8" s="224" t="s">
        <v>14</v>
      </c>
      <c r="H8" s="225">
        <f>SUM(H3:H7)</f>
        <v>4</v>
      </c>
      <c r="I8" s="224">
        <f>SUM(I3:I7)</f>
        <v>9</v>
      </c>
      <c r="J8" s="223">
        <f>SUM(J3:J7)</f>
        <v>10</v>
      </c>
      <c r="K8" s="224" t="s">
        <v>14</v>
      </c>
      <c r="L8" s="225">
        <f>SUM(L3:L7)</f>
        <v>7</v>
      </c>
      <c r="M8" s="222">
        <f>SUM(M3:M7)</f>
        <v>6</v>
      </c>
      <c r="N8" s="223">
        <f>SUM(N3:N7)</f>
        <v>3</v>
      </c>
      <c r="O8" s="224" t="s">
        <v>14</v>
      </c>
      <c r="P8" s="225">
        <f>SUM(P3:P7)</f>
        <v>9</v>
      </c>
      <c r="Q8" s="222">
        <f>SUM(Q3:Q7)</f>
        <v>3</v>
      </c>
      <c r="R8" s="223">
        <f>SUM(R3:R7)</f>
        <v>0</v>
      </c>
      <c r="S8" s="224" t="s">
        <v>14</v>
      </c>
      <c r="T8" s="225">
        <f>SUM(T3:T7)</f>
        <v>26</v>
      </c>
      <c r="U8" s="222">
        <f>SUM(U3:U7)</f>
        <v>0</v>
      </c>
      <c r="V8" s="223">
        <f>SUM(V3:V7)</f>
        <v>0</v>
      </c>
      <c r="W8" s="224" t="s">
        <v>14</v>
      </c>
      <c r="X8" s="223">
        <f>SUM(X3:X7)</f>
        <v>0</v>
      </c>
      <c r="Y8" s="223">
        <f>SUM(Y3:Y7)</f>
        <v>0</v>
      </c>
    </row>
    <row r="9" spans="1:25" ht="13.5" thickBot="1">
      <c r="A9" s="226" t="s">
        <v>11</v>
      </c>
      <c r="B9" s="226"/>
      <c r="C9" s="227"/>
      <c r="D9" s="228"/>
      <c r="E9" s="229">
        <v>1</v>
      </c>
      <c r="F9" s="226"/>
      <c r="G9" s="227"/>
      <c r="H9" s="228"/>
      <c r="I9" s="229">
        <v>2</v>
      </c>
      <c r="J9" s="226"/>
      <c r="K9" s="227"/>
      <c r="L9" s="228"/>
      <c r="M9" s="229">
        <v>3</v>
      </c>
      <c r="N9" s="226"/>
      <c r="O9" s="227"/>
      <c r="P9" s="228"/>
      <c r="Q9" s="229">
        <v>4</v>
      </c>
      <c r="R9" s="222"/>
      <c r="S9" s="230"/>
      <c r="T9" s="231"/>
      <c r="U9" s="229">
        <v>5</v>
      </c>
      <c r="V9" s="228"/>
      <c r="W9" s="227"/>
      <c r="X9" s="228"/>
      <c r="Y9" s="229"/>
    </row>
    <row r="10" spans="1:25" ht="13.5" thickBot="1">
      <c r="A10" s="226" t="s">
        <v>166</v>
      </c>
      <c r="B10" s="226"/>
      <c r="C10" s="227"/>
      <c r="D10" s="228"/>
      <c r="E10" s="232">
        <v>5</v>
      </c>
      <c r="F10" s="226"/>
      <c r="G10" s="227"/>
      <c r="H10" s="228"/>
      <c r="I10" s="232">
        <v>4</v>
      </c>
      <c r="J10" s="226"/>
      <c r="K10" s="227"/>
      <c r="L10" s="228"/>
      <c r="M10" s="229">
        <v>3</v>
      </c>
      <c r="N10" s="226"/>
      <c r="O10" s="227"/>
      <c r="P10" s="228"/>
      <c r="Q10" s="232">
        <v>2</v>
      </c>
      <c r="R10" s="222"/>
      <c r="S10" s="230"/>
      <c r="T10" s="231"/>
      <c r="U10" s="229">
        <v>1</v>
      </c>
      <c r="V10" s="228"/>
      <c r="W10" s="227"/>
      <c r="X10" s="228"/>
      <c r="Y10" s="232"/>
    </row>
    <row r="11" spans="1:25" ht="13.5" thickBot="1">
      <c r="A11" s="223"/>
      <c r="B11" s="228"/>
      <c r="C11" s="227"/>
      <c r="D11" s="231"/>
      <c r="E11" s="233"/>
      <c r="F11" s="226"/>
      <c r="G11" s="227"/>
      <c r="H11" s="231"/>
      <c r="I11" s="233"/>
      <c r="J11" s="226"/>
      <c r="K11" s="227"/>
      <c r="L11" s="231"/>
      <c r="M11" s="234"/>
      <c r="N11" s="226"/>
      <c r="O11" s="227"/>
      <c r="P11" s="231"/>
      <c r="Q11" s="233"/>
      <c r="R11" s="222"/>
      <c r="S11" s="230"/>
      <c r="T11" s="231"/>
      <c r="U11" s="234"/>
      <c r="V11" s="228"/>
      <c r="W11" s="227"/>
      <c r="X11" s="231"/>
      <c r="Y11" s="233"/>
    </row>
    <row r="12" spans="1:25" ht="13.5" thickBot="1">
      <c r="A12" s="223" t="s">
        <v>167</v>
      </c>
      <c r="B12" s="228"/>
      <c r="C12" s="227"/>
      <c r="D12" s="228"/>
      <c r="E12" s="229">
        <v>5</v>
      </c>
      <c r="F12" s="222"/>
      <c r="G12" s="230"/>
      <c r="H12" s="231"/>
      <c r="I12" s="229">
        <v>4</v>
      </c>
      <c r="J12" s="222"/>
      <c r="K12" s="230"/>
      <c r="L12" s="231"/>
      <c r="M12" s="229">
        <v>3</v>
      </c>
      <c r="N12" s="222"/>
      <c r="O12" s="230"/>
      <c r="P12" s="231"/>
      <c r="Q12" s="229">
        <v>2</v>
      </c>
      <c r="R12" s="222"/>
      <c r="S12" s="230"/>
      <c r="T12" s="231"/>
      <c r="U12" s="229">
        <v>1</v>
      </c>
      <c r="V12" s="231"/>
      <c r="W12" s="230"/>
      <c r="X12" s="231"/>
      <c r="Y12" s="229"/>
    </row>
    <row r="13" spans="1:25" ht="13.5" thickBot="1">
      <c r="A13" s="223" t="s">
        <v>168</v>
      </c>
      <c r="B13" s="228"/>
      <c r="C13" s="227"/>
      <c r="D13" s="228"/>
      <c r="E13" s="229">
        <f>SUM(E10:E12)</f>
        <v>10</v>
      </c>
      <c r="F13" s="222"/>
      <c r="G13" s="230"/>
      <c r="H13" s="231"/>
      <c r="I13" s="229">
        <f>SUM(I10:I12)</f>
        <v>8</v>
      </c>
      <c r="J13" s="222"/>
      <c r="K13" s="230"/>
      <c r="L13" s="231"/>
      <c r="M13" s="229">
        <f>SUM(M10:M12)</f>
        <v>6</v>
      </c>
      <c r="N13" s="222"/>
      <c r="O13" s="230"/>
      <c r="P13" s="231"/>
      <c r="Q13" s="229">
        <f>SUM(Q10:Q12)</f>
        <v>4</v>
      </c>
      <c r="R13" s="222"/>
      <c r="S13" s="230"/>
      <c r="T13" s="231"/>
      <c r="U13" s="229">
        <f>SUM(U10:U12)</f>
        <v>2</v>
      </c>
      <c r="V13" s="231"/>
      <c r="W13" s="230"/>
      <c r="X13" s="231"/>
      <c r="Y13" s="229">
        <f>SUM(Y10:Y12)</f>
        <v>0</v>
      </c>
    </row>
    <row r="14" spans="1:25" ht="13.5" thickBot="1">
      <c r="A14" s="222" t="s">
        <v>11</v>
      </c>
      <c r="B14" s="222"/>
      <c r="C14" s="230"/>
      <c r="D14" s="231"/>
      <c r="E14" s="229">
        <v>1</v>
      </c>
      <c r="F14" s="222"/>
      <c r="G14" s="230"/>
      <c r="H14" s="231"/>
      <c r="I14" s="229">
        <v>2</v>
      </c>
      <c r="J14" s="222"/>
      <c r="K14" s="230"/>
      <c r="L14" s="231"/>
      <c r="M14" s="229">
        <v>3</v>
      </c>
      <c r="N14" s="222"/>
      <c r="O14" s="230"/>
      <c r="P14" s="231"/>
      <c r="Q14" s="229">
        <v>4</v>
      </c>
      <c r="R14" s="222"/>
      <c r="S14" s="230"/>
      <c r="T14" s="231"/>
      <c r="U14" s="229">
        <v>5</v>
      </c>
      <c r="V14" s="222"/>
      <c r="W14" s="230"/>
      <c r="X14" s="231"/>
      <c r="Y14" s="229"/>
    </row>
    <row r="18" spans="1:22" ht="14.25" customHeight="1">
      <c r="A18" s="635" t="s">
        <v>193</v>
      </c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</row>
    <row r="20" spans="1:25" ht="14.25" customHeight="1">
      <c r="A20" s="635" t="s">
        <v>208</v>
      </c>
      <c r="B20" s="635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</row>
    <row r="21" spans="1:25" ht="14.25" customHeight="1">
      <c r="A21" s="635" t="s">
        <v>209</v>
      </c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</row>
  </sheetData>
  <sheetProtection/>
  <mergeCells count="15">
    <mergeCell ref="A21:Y21"/>
    <mergeCell ref="F2:H2"/>
    <mergeCell ref="J2:L2"/>
    <mergeCell ref="N2:P2"/>
    <mergeCell ref="R2:T2"/>
    <mergeCell ref="V2:X2"/>
    <mergeCell ref="A20:Y20"/>
    <mergeCell ref="A18:V18"/>
    <mergeCell ref="J1:M1"/>
    <mergeCell ref="N1:Q1"/>
    <mergeCell ref="R1:U1"/>
    <mergeCell ref="V1:Y1"/>
    <mergeCell ref="B2:D2"/>
    <mergeCell ref="B1:E1"/>
    <mergeCell ref="F1:I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1.421875" style="263" customWidth="1"/>
    <col min="2" max="2" width="34.28125" style="269" customWidth="1"/>
    <col min="3" max="16384" width="11.421875" style="263" customWidth="1"/>
  </cols>
  <sheetData>
    <row r="1" spans="1:8" ht="22.5">
      <c r="A1" s="636" t="s">
        <v>195</v>
      </c>
      <c r="B1" s="636"/>
      <c r="C1" s="636"/>
      <c r="D1" s="636"/>
      <c r="E1" s="636"/>
      <c r="F1" s="636"/>
      <c r="G1" s="636"/>
      <c r="H1" s="636"/>
    </row>
    <row r="2" spans="1:8" ht="22.5">
      <c r="A2" s="197"/>
      <c r="B2" s="264"/>
      <c r="C2" s="197"/>
      <c r="D2" s="197"/>
      <c r="E2" s="197"/>
      <c r="F2" s="197"/>
      <c r="G2" s="197"/>
      <c r="H2" s="197"/>
    </row>
    <row r="3" spans="1:8" ht="12.75">
      <c r="A3" s="198"/>
      <c r="B3" s="265"/>
      <c r="C3" s="198" t="s">
        <v>187</v>
      </c>
      <c r="D3" s="637" t="s">
        <v>9</v>
      </c>
      <c r="E3" s="637"/>
      <c r="F3" s="637"/>
      <c r="G3" s="199" t="s">
        <v>196</v>
      </c>
      <c r="H3" s="198" t="s">
        <v>10</v>
      </c>
    </row>
    <row r="4" spans="1:8" ht="15">
      <c r="A4" s="266" t="s">
        <v>188</v>
      </c>
      <c r="B4" s="267" t="s">
        <v>197</v>
      </c>
      <c r="C4" s="268">
        <v>8</v>
      </c>
      <c r="D4" s="268">
        <v>40</v>
      </c>
      <c r="E4" s="268" t="s">
        <v>14</v>
      </c>
      <c r="F4" s="268">
        <v>2</v>
      </c>
      <c r="G4" s="268">
        <v>38</v>
      </c>
      <c r="H4" s="268">
        <v>21</v>
      </c>
    </row>
    <row r="5" spans="1:8" ht="15">
      <c r="A5" s="266" t="s">
        <v>189</v>
      </c>
      <c r="B5" s="267" t="s">
        <v>198</v>
      </c>
      <c r="C5" s="268">
        <v>8</v>
      </c>
      <c r="D5" s="268">
        <v>29</v>
      </c>
      <c r="E5" s="268" t="s">
        <v>14</v>
      </c>
      <c r="F5" s="268">
        <v>8</v>
      </c>
      <c r="G5" s="268">
        <v>21</v>
      </c>
      <c r="H5" s="268">
        <v>19</v>
      </c>
    </row>
    <row r="6" spans="1:8" ht="15">
      <c r="A6" s="266" t="s">
        <v>190</v>
      </c>
      <c r="B6" s="267" t="s">
        <v>199</v>
      </c>
      <c r="C6" s="268">
        <v>8</v>
      </c>
      <c r="D6" s="268">
        <v>18</v>
      </c>
      <c r="E6" s="268" t="s">
        <v>14</v>
      </c>
      <c r="F6" s="268">
        <v>12</v>
      </c>
      <c r="G6" s="268">
        <v>6</v>
      </c>
      <c r="H6" s="268">
        <v>10</v>
      </c>
    </row>
    <row r="7" spans="1:8" ht="15">
      <c r="A7" s="266" t="s">
        <v>191</v>
      </c>
      <c r="B7" s="267" t="s">
        <v>200</v>
      </c>
      <c r="C7" s="268">
        <v>8</v>
      </c>
      <c r="D7" s="268">
        <v>11</v>
      </c>
      <c r="E7" s="268" t="s">
        <v>14</v>
      </c>
      <c r="F7" s="268">
        <v>21</v>
      </c>
      <c r="G7" s="268">
        <v>-10</v>
      </c>
      <c r="H7" s="268">
        <v>9</v>
      </c>
    </row>
    <row r="8" spans="1:8" ht="15">
      <c r="A8" s="266" t="s">
        <v>192</v>
      </c>
      <c r="B8" s="267" t="s">
        <v>201</v>
      </c>
      <c r="C8" s="268">
        <v>8</v>
      </c>
      <c r="D8" s="268">
        <v>0</v>
      </c>
      <c r="E8" s="268" t="s">
        <v>14</v>
      </c>
      <c r="F8" s="268">
        <v>55</v>
      </c>
      <c r="G8" s="268">
        <v>-55</v>
      </c>
      <c r="H8" s="268">
        <v>0</v>
      </c>
    </row>
  </sheetData>
  <sheetProtection/>
  <mergeCells count="2">
    <mergeCell ref="A1:H1"/>
    <mergeCell ref="D3:F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AH65"/>
  <sheetViews>
    <sheetView zoomScalePageLayoutView="0" workbookViewId="0" topLeftCell="A31">
      <selection activeCell="T17" sqref="T17:X17"/>
    </sheetView>
  </sheetViews>
  <sheetFormatPr defaultColWidth="11.421875" defaultRowHeight="12.75"/>
  <cols>
    <col min="1" max="2" width="5.7109375" style="90" customWidth="1"/>
    <col min="3" max="20" width="2.7109375" style="90" customWidth="1"/>
    <col min="21" max="23" width="5.7109375" style="90" customWidth="1"/>
    <col min="24" max="24" width="2.7109375" style="90" customWidth="1"/>
    <col min="25" max="25" width="6.28125" style="104" customWidth="1"/>
    <col min="26" max="26" width="2.7109375" style="90" customWidth="1"/>
    <col min="27" max="27" width="6.8515625" style="90" customWidth="1"/>
    <col min="28" max="28" width="3.140625" style="90" customWidth="1"/>
    <col min="29" max="29" width="27.00390625" style="101" customWidth="1"/>
    <col min="30" max="30" width="2.7109375" style="90" customWidth="1"/>
    <col min="31" max="34" width="5.7109375" style="90" customWidth="1"/>
    <col min="35" max="35" width="9.00390625" style="90" customWidth="1"/>
    <col min="36" max="47" width="2.7109375" style="90" customWidth="1"/>
    <col min="48" max="16384" width="11.421875" style="90" customWidth="1"/>
  </cols>
  <sheetData>
    <row r="1" spans="1:34" ht="15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6"/>
      <c r="Z1" s="91"/>
      <c r="AA1" s="91"/>
      <c r="AB1" s="91"/>
      <c r="AC1" s="107"/>
      <c r="AD1" s="91"/>
      <c r="AE1" s="91"/>
      <c r="AF1" s="91"/>
      <c r="AG1" s="91"/>
      <c r="AH1" s="91"/>
    </row>
    <row r="2" spans="1:34" ht="12.75" customHeigh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91"/>
      <c r="X2" s="92"/>
      <c r="Y2" s="105"/>
      <c r="Z2" s="92"/>
      <c r="AA2" s="92"/>
      <c r="AB2" s="92"/>
      <c r="AC2" s="96"/>
      <c r="AD2" s="92"/>
      <c r="AE2" s="91"/>
      <c r="AF2" s="91"/>
      <c r="AG2" s="91"/>
      <c r="AH2" s="91"/>
    </row>
    <row r="3" spans="1:34" ht="12.75" customHeight="1">
      <c r="A3" s="91"/>
      <c r="B3" s="91"/>
      <c r="C3" s="92"/>
      <c r="D3" s="640" t="s">
        <v>86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109"/>
      <c r="V3" s="109"/>
      <c r="W3" s="109"/>
      <c r="X3" s="100"/>
      <c r="Y3" s="118">
        <v>10</v>
      </c>
      <c r="Z3" s="119"/>
      <c r="AA3" s="120" t="s">
        <v>89</v>
      </c>
      <c r="AB3" s="119"/>
      <c r="AC3" s="121" t="s">
        <v>107</v>
      </c>
      <c r="AD3" s="98"/>
      <c r="AE3" s="91"/>
      <c r="AF3" s="91"/>
      <c r="AG3" s="91"/>
      <c r="AH3" s="91"/>
    </row>
    <row r="4" spans="1:34" ht="12.75" customHeight="1">
      <c r="A4" s="91"/>
      <c r="B4" s="91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10"/>
      <c r="V4" s="110"/>
      <c r="W4" s="110"/>
      <c r="X4" s="93"/>
      <c r="Y4" s="122">
        <v>20</v>
      </c>
      <c r="Z4" s="115"/>
      <c r="AA4" s="115" t="s">
        <v>90</v>
      </c>
      <c r="AB4" s="115"/>
      <c r="AC4" s="114" t="s">
        <v>108</v>
      </c>
      <c r="AD4" s="92"/>
      <c r="AE4" s="91"/>
      <c r="AF4" s="91"/>
      <c r="AG4" s="91"/>
      <c r="AH4" s="91"/>
    </row>
    <row r="5" spans="1:34" s="102" customFormat="1" ht="12.75" customHeight="1">
      <c r="A5" s="108"/>
      <c r="B5" s="108"/>
      <c r="C5" s="103"/>
      <c r="D5" s="639" t="s">
        <v>88</v>
      </c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111"/>
      <c r="V5" s="111"/>
      <c r="W5" s="111"/>
      <c r="X5" s="95"/>
      <c r="Y5" s="118">
        <v>30</v>
      </c>
      <c r="Z5" s="116"/>
      <c r="AA5" s="115" t="s">
        <v>91</v>
      </c>
      <c r="AB5" s="116"/>
      <c r="AC5" s="114" t="s">
        <v>109</v>
      </c>
      <c r="AD5" s="103"/>
      <c r="AE5" s="108"/>
      <c r="AF5" s="108"/>
      <c r="AG5" s="108"/>
      <c r="AH5" s="108"/>
    </row>
    <row r="6" spans="1:34" ht="12.75" customHeight="1">
      <c r="A6" s="91"/>
      <c r="B6" s="91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0"/>
      <c r="V6" s="110"/>
      <c r="W6" s="110"/>
      <c r="X6" s="93"/>
      <c r="Y6" s="122">
        <v>40</v>
      </c>
      <c r="Z6" s="115"/>
      <c r="AA6" s="115" t="s">
        <v>92</v>
      </c>
      <c r="AB6" s="115"/>
      <c r="AC6" s="114" t="s">
        <v>118</v>
      </c>
      <c r="AD6" s="92"/>
      <c r="AE6" s="91"/>
      <c r="AF6" s="91"/>
      <c r="AG6" s="91"/>
      <c r="AH6" s="91"/>
    </row>
    <row r="7" spans="1:34" ht="12.75" customHeight="1">
      <c r="A7" s="91"/>
      <c r="B7" s="91"/>
      <c r="C7" s="92"/>
      <c r="D7" s="640" t="s">
        <v>87</v>
      </c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109"/>
      <c r="V7" s="109"/>
      <c r="W7" s="109"/>
      <c r="X7" s="100"/>
      <c r="Y7" s="118">
        <v>50</v>
      </c>
      <c r="Z7" s="119"/>
      <c r="AA7" s="120" t="s">
        <v>93</v>
      </c>
      <c r="AB7" s="119"/>
      <c r="AC7" s="121" t="s">
        <v>110</v>
      </c>
      <c r="AD7" s="98"/>
      <c r="AE7" s="91"/>
      <c r="AF7" s="91"/>
      <c r="AG7" s="91"/>
      <c r="AH7" s="91"/>
    </row>
    <row r="8" spans="1:34" ht="12.75" customHeight="1">
      <c r="A8" s="91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1"/>
      <c r="V8" s="91"/>
      <c r="W8" s="91"/>
      <c r="X8" s="92"/>
      <c r="Y8" s="122">
        <v>60</v>
      </c>
      <c r="Z8" s="113"/>
      <c r="AA8" s="113" t="s">
        <v>94</v>
      </c>
      <c r="AB8" s="113"/>
      <c r="AC8" s="117" t="s">
        <v>111</v>
      </c>
      <c r="AD8" s="92"/>
      <c r="AE8" s="91"/>
      <c r="AF8" s="91"/>
      <c r="AG8" s="91"/>
      <c r="AH8" s="91"/>
    </row>
    <row r="9" spans="1:34" ht="12.75" customHeight="1">
      <c r="A9" s="91"/>
      <c r="B9" s="91"/>
      <c r="C9" s="92"/>
      <c r="D9" s="92"/>
      <c r="E9" s="92"/>
      <c r="F9" s="92"/>
      <c r="G9" s="92"/>
      <c r="H9" s="92"/>
      <c r="I9" s="92"/>
      <c r="J9" s="92"/>
      <c r="K9" s="92"/>
      <c r="L9" s="641" t="b">
        <v>1</v>
      </c>
      <c r="M9" s="641"/>
      <c r="N9" s="641"/>
      <c r="O9" s="92"/>
      <c r="P9" s="112">
        <f>IF(L9,3,2)</f>
        <v>3</v>
      </c>
      <c r="Q9" s="92"/>
      <c r="R9" s="92"/>
      <c r="S9" s="92"/>
      <c r="T9" s="92"/>
      <c r="U9" s="91"/>
      <c r="V9" s="91"/>
      <c r="W9" s="91"/>
      <c r="X9" s="92"/>
      <c r="Y9" s="118">
        <v>70</v>
      </c>
      <c r="Z9" s="113"/>
      <c r="AA9" s="113" t="s">
        <v>95</v>
      </c>
      <c r="AB9" s="113"/>
      <c r="AC9" s="117" t="s">
        <v>112</v>
      </c>
      <c r="AD9" s="92"/>
      <c r="AE9" s="91"/>
      <c r="AF9" s="91"/>
      <c r="AG9" s="91"/>
      <c r="AH9" s="91"/>
    </row>
    <row r="10" spans="1:34" ht="12.75" customHeight="1">
      <c r="A10" s="91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1"/>
      <c r="V10" s="91"/>
      <c r="W10" s="91"/>
      <c r="X10" s="92"/>
      <c r="Y10" s="122">
        <v>80</v>
      </c>
      <c r="Z10" s="113"/>
      <c r="AA10" s="113" t="s">
        <v>96</v>
      </c>
      <c r="AB10" s="113"/>
      <c r="AC10" s="117" t="s">
        <v>119</v>
      </c>
      <c r="AD10" s="92"/>
      <c r="AE10" s="91"/>
      <c r="AF10" s="91"/>
      <c r="AG10" s="91"/>
      <c r="AH10" s="91"/>
    </row>
    <row r="11" spans="1:34" ht="12.75" customHeight="1">
      <c r="A11" s="91"/>
      <c r="B11" s="91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1"/>
      <c r="V11" s="91"/>
      <c r="W11" s="91"/>
      <c r="X11" s="92"/>
      <c r="Y11" s="118">
        <v>90</v>
      </c>
      <c r="Z11" s="113"/>
      <c r="AA11" s="113" t="s">
        <v>97</v>
      </c>
      <c r="AB11" s="113"/>
      <c r="AC11" s="117" t="s">
        <v>113</v>
      </c>
      <c r="AD11" s="92"/>
      <c r="AE11" s="91"/>
      <c r="AF11" s="91"/>
      <c r="AG11" s="91"/>
      <c r="AH11" s="91"/>
    </row>
    <row r="12" spans="1:34" ht="12.75" customHeight="1">
      <c r="A12" s="91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/>
      <c r="V12" s="91"/>
      <c r="W12" s="91"/>
      <c r="X12" s="92"/>
      <c r="Y12" s="122">
        <v>100</v>
      </c>
      <c r="Z12" s="113"/>
      <c r="AA12" s="113" t="s">
        <v>98</v>
      </c>
      <c r="AB12" s="113"/>
      <c r="AC12" s="117" t="s">
        <v>114</v>
      </c>
      <c r="AD12" s="92"/>
      <c r="AE12" s="91"/>
      <c r="AF12" s="91"/>
      <c r="AG12" s="91"/>
      <c r="AH12" s="91"/>
    </row>
    <row r="13" spans="1:34" ht="12.75" customHeight="1">
      <c r="A13" s="91"/>
      <c r="B13" s="91"/>
      <c r="C13" s="92"/>
      <c r="D13" s="639" t="s">
        <v>151</v>
      </c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91"/>
      <c r="V13" s="91"/>
      <c r="W13" s="91"/>
      <c r="X13" s="92"/>
      <c r="Y13" s="118">
        <v>110</v>
      </c>
      <c r="Z13" s="113"/>
      <c r="AA13" s="113" t="s">
        <v>99</v>
      </c>
      <c r="AB13" s="113"/>
      <c r="AC13" s="117" t="s">
        <v>115</v>
      </c>
      <c r="AD13" s="92"/>
      <c r="AE13" s="91"/>
      <c r="AF13" s="91"/>
      <c r="AG13" s="91"/>
      <c r="AH13" s="91"/>
    </row>
    <row r="14" spans="1:34" ht="12.75" customHeight="1">
      <c r="A14" s="91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1"/>
      <c r="V14" s="91"/>
      <c r="W14" s="91"/>
      <c r="X14" s="92"/>
      <c r="Y14" s="122">
        <v>120</v>
      </c>
      <c r="Z14" s="113"/>
      <c r="AA14" s="113" t="s">
        <v>100</v>
      </c>
      <c r="AB14" s="113"/>
      <c r="AC14" s="117" t="s">
        <v>116</v>
      </c>
      <c r="AD14" s="92"/>
      <c r="AE14" s="91"/>
      <c r="AF14" s="91"/>
      <c r="AG14" s="91"/>
      <c r="AH14" s="91"/>
    </row>
    <row r="15" spans="1:34" s="102" customFormat="1" ht="12.75" customHeight="1">
      <c r="A15" s="108"/>
      <c r="B15" s="108"/>
      <c r="C15" s="103"/>
      <c r="D15" s="639" t="s">
        <v>150</v>
      </c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108"/>
      <c r="V15" s="108"/>
      <c r="W15" s="108"/>
      <c r="X15" s="103"/>
      <c r="Y15" s="118">
        <v>130</v>
      </c>
      <c r="Z15" s="123"/>
      <c r="AA15" s="113" t="s">
        <v>101</v>
      </c>
      <c r="AB15" s="123"/>
      <c r="AC15" s="117" t="s">
        <v>117</v>
      </c>
      <c r="AD15" s="103"/>
      <c r="AE15" s="108"/>
      <c r="AF15" s="108"/>
      <c r="AG15" s="108"/>
      <c r="AH15" s="108"/>
    </row>
    <row r="16" spans="1:34" ht="12.75" customHeight="1">
      <c r="A16" s="9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1"/>
      <c r="V16" s="91"/>
      <c r="W16" s="91"/>
      <c r="X16" s="92"/>
      <c r="Y16" s="122">
        <v>140</v>
      </c>
      <c r="Z16" s="113"/>
      <c r="AA16" s="113" t="s">
        <v>102</v>
      </c>
      <c r="AB16" s="113"/>
      <c r="AC16" s="117" t="s">
        <v>120</v>
      </c>
      <c r="AD16" s="92"/>
      <c r="AE16" s="91"/>
      <c r="AF16" s="91"/>
      <c r="AG16" s="91"/>
      <c r="AH16" s="91"/>
    </row>
    <row r="17" spans="1:34" s="102" customFormat="1" ht="12.75" customHeight="1">
      <c r="A17" s="108"/>
      <c r="B17" s="108"/>
      <c r="C17" s="10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7"/>
      <c r="U17" s="108"/>
      <c r="V17" s="108"/>
      <c r="W17" s="108"/>
      <c r="X17" s="103"/>
      <c r="Y17" s="118">
        <v>150</v>
      </c>
      <c r="Z17" s="123"/>
      <c r="AA17" s="113"/>
      <c r="AB17" s="123"/>
      <c r="AC17" s="117"/>
      <c r="AD17" s="103"/>
      <c r="AE17" s="108"/>
      <c r="AF17" s="108"/>
      <c r="AG17" s="108"/>
      <c r="AH17" s="108"/>
    </row>
    <row r="18" spans="1:34" ht="12.75" customHeight="1">
      <c r="A18" s="91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1"/>
      <c r="V18" s="91"/>
      <c r="W18" s="91"/>
      <c r="X18" s="92"/>
      <c r="Y18" s="122">
        <v>160</v>
      </c>
      <c r="Z18" s="113"/>
      <c r="AA18" s="113" t="s">
        <v>103</v>
      </c>
      <c r="AB18" s="113"/>
      <c r="AC18" s="117" t="s">
        <v>121</v>
      </c>
      <c r="AD18" s="92"/>
      <c r="AE18" s="91"/>
      <c r="AF18" s="91"/>
      <c r="AG18" s="91"/>
      <c r="AH18" s="91"/>
    </row>
    <row r="19" spans="1:34" ht="12.75" customHeight="1">
      <c r="A19" s="91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31">
        <v>1</v>
      </c>
      <c r="R19" s="92"/>
      <c r="S19" s="92"/>
      <c r="T19" s="92"/>
      <c r="U19" s="91"/>
      <c r="V19" s="91"/>
      <c r="W19" s="91"/>
      <c r="X19" s="92"/>
      <c r="Y19" s="118">
        <v>170</v>
      </c>
      <c r="Z19" s="113"/>
      <c r="AA19" s="113" t="s">
        <v>104</v>
      </c>
      <c r="AB19" s="113"/>
      <c r="AC19" s="117" t="s">
        <v>122</v>
      </c>
      <c r="AD19" s="92"/>
      <c r="AE19" s="91"/>
      <c r="AF19" s="91"/>
      <c r="AG19" s="91"/>
      <c r="AH19" s="91"/>
    </row>
    <row r="20" spans="1:34" ht="12.75" customHeight="1">
      <c r="A20" s="9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1"/>
      <c r="V20" s="91"/>
      <c r="W20" s="91"/>
      <c r="X20" s="92"/>
      <c r="Y20" s="122">
        <v>180</v>
      </c>
      <c r="Z20" s="113"/>
      <c r="AA20" s="113" t="s">
        <v>105</v>
      </c>
      <c r="AB20" s="113"/>
      <c r="AC20" s="117" t="s">
        <v>123</v>
      </c>
      <c r="AD20" s="92"/>
      <c r="AE20" s="91"/>
      <c r="AF20" s="91"/>
      <c r="AG20" s="91"/>
      <c r="AH20" s="91"/>
    </row>
    <row r="21" spans="1:34" ht="12.75" customHeight="1">
      <c r="A21" s="91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1"/>
      <c r="V21" s="91"/>
      <c r="W21" s="91"/>
      <c r="X21" s="92"/>
      <c r="Y21" s="118">
        <v>190</v>
      </c>
      <c r="Z21" s="113"/>
      <c r="AA21" s="113"/>
      <c r="AB21" s="113"/>
      <c r="AC21" s="117"/>
      <c r="AD21" s="92"/>
      <c r="AE21" s="91"/>
      <c r="AF21" s="91"/>
      <c r="AG21" s="91"/>
      <c r="AH21" s="91"/>
    </row>
    <row r="22" spans="1:34" ht="12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7"/>
      <c r="Y22" s="124">
        <v>200</v>
      </c>
      <c r="Z22" s="125"/>
      <c r="AA22" s="125" t="s">
        <v>106</v>
      </c>
      <c r="AB22" s="125"/>
      <c r="AC22" s="126" t="s">
        <v>124</v>
      </c>
      <c r="AD22" s="97"/>
      <c r="AE22" s="91"/>
      <c r="AF22" s="91"/>
      <c r="AG22" s="91"/>
      <c r="AH22" s="91"/>
    </row>
    <row r="23" spans="1:34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Y23" s="118">
        <v>10000</v>
      </c>
      <c r="Z23" s="113"/>
      <c r="AA23" s="113" t="s">
        <v>89</v>
      </c>
      <c r="AB23" s="113"/>
      <c r="AC23" s="121" t="s">
        <v>107</v>
      </c>
      <c r="AD23" s="92"/>
      <c r="AE23" s="91"/>
      <c r="AF23" s="91"/>
      <c r="AG23" s="91"/>
      <c r="AH23" s="91"/>
    </row>
    <row r="24" spans="1:34" ht="12.75" customHeight="1">
      <c r="A24" s="91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1"/>
      <c r="V24" s="91"/>
      <c r="W24" s="91"/>
      <c r="X24" s="92"/>
      <c r="Y24" s="118">
        <v>20000</v>
      </c>
      <c r="Z24" s="113"/>
      <c r="AA24" s="113" t="s">
        <v>90</v>
      </c>
      <c r="AB24" s="113"/>
      <c r="AC24" s="114" t="s">
        <v>108</v>
      </c>
      <c r="AD24" s="92"/>
      <c r="AE24" s="91"/>
      <c r="AF24" s="91"/>
      <c r="AG24" s="91"/>
      <c r="AH24" s="91"/>
    </row>
    <row r="25" spans="1:34" ht="12.75" customHeight="1">
      <c r="A25" s="91"/>
      <c r="B25" s="91"/>
      <c r="C25" s="92"/>
      <c r="D25" s="638" t="s">
        <v>134</v>
      </c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92"/>
      <c r="U25" s="91"/>
      <c r="V25" s="91"/>
      <c r="W25" s="91"/>
      <c r="X25" s="92"/>
      <c r="Y25" s="118">
        <v>30000</v>
      </c>
      <c r="Z25" s="113"/>
      <c r="AA25" s="113" t="s">
        <v>91</v>
      </c>
      <c r="AB25" s="113"/>
      <c r="AC25" s="114" t="s">
        <v>109</v>
      </c>
      <c r="AD25" s="92"/>
      <c r="AE25" s="91"/>
      <c r="AF25" s="91"/>
      <c r="AG25" s="91"/>
      <c r="AH25" s="91"/>
    </row>
    <row r="26" spans="1:34" ht="12.75" customHeight="1">
      <c r="A26" s="91"/>
      <c r="B26" s="91"/>
      <c r="C26" s="92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92"/>
      <c r="U26" s="91"/>
      <c r="V26" s="91"/>
      <c r="W26" s="91"/>
      <c r="X26" s="92"/>
      <c r="Y26" s="118">
        <v>40000</v>
      </c>
      <c r="Z26" s="113"/>
      <c r="AA26" s="113" t="s">
        <v>92</v>
      </c>
      <c r="AB26" s="113"/>
      <c r="AC26" s="114" t="s">
        <v>118</v>
      </c>
      <c r="AD26" s="92"/>
      <c r="AE26" s="91"/>
      <c r="AF26" s="91"/>
      <c r="AG26" s="91"/>
      <c r="AH26" s="91"/>
    </row>
    <row r="27" spans="1:34" ht="12.75" customHeight="1">
      <c r="A27" s="91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1"/>
      <c r="V27" s="91"/>
      <c r="W27" s="91"/>
      <c r="X27" s="92"/>
      <c r="Y27" s="118">
        <v>50000</v>
      </c>
      <c r="Z27" s="113"/>
      <c r="AA27" s="113" t="s">
        <v>93</v>
      </c>
      <c r="AB27" s="113"/>
      <c r="AC27" s="121" t="s">
        <v>110</v>
      </c>
      <c r="AD27" s="92"/>
      <c r="AE27" s="91"/>
      <c r="AF27" s="91"/>
      <c r="AG27" s="91"/>
      <c r="AH27" s="91"/>
    </row>
    <row r="28" spans="1:34" ht="12.75" customHeight="1">
      <c r="A28" s="91"/>
      <c r="B28" s="91"/>
      <c r="C28" s="92"/>
      <c r="D28" s="642" t="s">
        <v>145</v>
      </c>
      <c r="E28" s="642"/>
      <c r="F28" s="128">
        <v>4</v>
      </c>
      <c r="G28" s="642" t="s">
        <v>146</v>
      </c>
      <c r="H28" s="642"/>
      <c r="I28" s="128">
        <v>10</v>
      </c>
      <c r="J28" s="642" t="s">
        <v>147</v>
      </c>
      <c r="K28" s="642"/>
      <c r="L28" s="642"/>
      <c r="M28" s="129" t="s">
        <v>148</v>
      </c>
      <c r="N28" s="644" t="s">
        <v>135</v>
      </c>
      <c r="O28" s="644"/>
      <c r="P28" s="644"/>
      <c r="Q28" s="644"/>
      <c r="R28" s="644"/>
      <c r="S28" s="644"/>
      <c r="T28" s="92"/>
      <c r="U28" s="91"/>
      <c r="V28" s="91"/>
      <c r="W28" s="91"/>
      <c r="X28" s="92"/>
      <c r="Y28" s="118">
        <v>60000</v>
      </c>
      <c r="Z28" s="113"/>
      <c r="AA28" s="113" t="s">
        <v>94</v>
      </c>
      <c r="AB28" s="113"/>
      <c r="AC28" s="117" t="s">
        <v>111</v>
      </c>
      <c r="AD28" s="92"/>
      <c r="AE28" s="91"/>
      <c r="AF28" s="91"/>
      <c r="AG28" s="91"/>
      <c r="AH28" s="91"/>
    </row>
    <row r="29" spans="1:34" ht="12.75" customHeight="1">
      <c r="A29" s="91"/>
      <c r="B29" s="91"/>
      <c r="C29" s="92"/>
      <c r="D29" s="642" t="s">
        <v>145</v>
      </c>
      <c r="E29" s="642"/>
      <c r="F29" s="128">
        <v>10</v>
      </c>
      <c r="G29" s="642" t="s">
        <v>146</v>
      </c>
      <c r="H29" s="642"/>
      <c r="I29" s="128">
        <v>12</v>
      </c>
      <c r="J29" s="642" t="s">
        <v>147</v>
      </c>
      <c r="K29" s="642"/>
      <c r="L29" s="642"/>
      <c r="M29" s="129" t="s">
        <v>148</v>
      </c>
      <c r="N29" s="644" t="s">
        <v>136</v>
      </c>
      <c r="O29" s="644"/>
      <c r="P29" s="644"/>
      <c r="Q29" s="644"/>
      <c r="R29" s="644"/>
      <c r="S29" s="644"/>
      <c r="T29" s="92"/>
      <c r="U29" s="91"/>
      <c r="V29" s="91"/>
      <c r="W29" s="91"/>
      <c r="X29" s="92"/>
      <c r="Y29" s="118">
        <v>70000</v>
      </c>
      <c r="Z29" s="113"/>
      <c r="AA29" s="113" t="s">
        <v>95</v>
      </c>
      <c r="AB29" s="113"/>
      <c r="AC29" s="117" t="s">
        <v>112</v>
      </c>
      <c r="AD29" s="92"/>
      <c r="AE29" s="91"/>
      <c r="AF29" s="91"/>
      <c r="AG29" s="91"/>
      <c r="AH29" s="91"/>
    </row>
    <row r="30" spans="1:34" ht="12.75" customHeight="1">
      <c r="A30" s="91"/>
      <c r="B30" s="91"/>
      <c r="C30" s="92"/>
      <c r="D30" s="642" t="s">
        <v>145</v>
      </c>
      <c r="E30" s="642"/>
      <c r="F30" s="128">
        <v>12</v>
      </c>
      <c r="G30" s="642" t="s">
        <v>146</v>
      </c>
      <c r="H30" s="642"/>
      <c r="I30" s="128">
        <v>14</v>
      </c>
      <c r="J30" s="642" t="s">
        <v>147</v>
      </c>
      <c r="K30" s="642"/>
      <c r="L30" s="642"/>
      <c r="M30" s="129" t="s">
        <v>148</v>
      </c>
      <c r="N30" s="644" t="s">
        <v>137</v>
      </c>
      <c r="O30" s="644"/>
      <c r="P30" s="644"/>
      <c r="Q30" s="644"/>
      <c r="R30" s="644"/>
      <c r="S30" s="644"/>
      <c r="T30" s="92"/>
      <c r="U30" s="91"/>
      <c r="V30" s="91"/>
      <c r="W30" s="91"/>
      <c r="X30" s="92"/>
      <c r="Y30" s="118">
        <v>80000</v>
      </c>
      <c r="Z30" s="113"/>
      <c r="AA30" s="113" t="s">
        <v>96</v>
      </c>
      <c r="AB30" s="113"/>
      <c r="AC30" s="117" t="s">
        <v>119</v>
      </c>
      <c r="AD30" s="92"/>
      <c r="AE30" s="91"/>
      <c r="AF30" s="91"/>
      <c r="AG30" s="91"/>
      <c r="AH30" s="91"/>
    </row>
    <row r="31" spans="1:34" ht="12.75" customHeight="1">
      <c r="A31" s="91"/>
      <c r="B31" s="91"/>
      <c r="C31" s="92"/>
      <c r="D31" s="642" t="s">
        <v>145</v>
      </c>
      <c r="E31" s="642"/>
      <c r="F31" s="128">
        <v>14</v>
      </c>
      <c r="G31" s="642" t="s">
        <v>146</v>
      </c>
      <c r="H31" s="642"/>
      <c r="I31" s="128">
        <v>16</v>
      </c>
      <c r="J31" s="642" t="s">
        <v>147</v>
      </c>
      <c r="K31" s="642"/>
      <c r="L31" s="642"/>
      <c r="M31" s="129" t="s">
        <v>148</v>
      </c>
      <c r="N31" s="644" t="s">
        <v>138</v>
      </c>
      <c r="O31" s="644"/>
      <c r="P31" s="644"/>
      <c r="Q31" s="644"/>
      <c r="R31" s="644"/>
      <c r="S31" s="644"/>
      <c r="T31" s="92"/>
      <c r="U31" s="91"/>
      <c r="V31" s="91"/>
      <c r="W31" s="91"/>
      <c r="X31" s="92"/>
      <c r="Y31" s="118">
        <v>90000</v>
      </c>
      <c r="Z31" s="113"/>
      <c r="AA31" s="113" t="s">
        <v>97</v>
      </c>
      <c r="AB31" s="113"/>
      <c r="AC31" s="117" t="s">
        <v>113</v>
      </c>
      <c r="AD31" s="92"/>
      <c r="AE31" s="91"/>
      <c r="AF31" s="91"/>
      <c r="AG31" s="91"/>
      <c r="AH31" s="91"/>
    </row>
    <row r="32" spans="1:34" ht="12.75" customHeight="1">
      <c r="A32" s="91"/>
      <c r="B32" s="91"/>
      <c r="C32" s="92"/>
      <c r="D32" s="642" t="s">
        <v>145</v>
      </c>
      <c r="E32" s="642"/>
      <c r="F32" s="128">
        <v>16</v>
      </c>
      <c r="G32" s="642" t="s">
        <v>146</v>
      </c>
      <c r="H32" s="642"/>
      <c r="I32" s="128">
        <v>18</v>
      </c>
      <c r="J32" s="642" t="s">
        <v>147</v>
      </c>
      <c r="K32" s="642"/>
      <c r="L32" s="642"/>
      <c r="M32" s="129" t="s">
        <v>148</v>
      </c>
      <c r="N32" s="644" t="s">
        <v>139</v>
      </c>
      <c r="O32" s="644"/>
      <c r="P32" s="644"/>
      <c r="Q32" s="644"/>
      <c r="R32" s="644"/>
      <c r="S32" s="644"/>
      <c r="T32" s="92"/>
      <c r="U32" s="91"/>
      <c r="V32" s="91"/>
      <c r="W32" s="91"/>
      <c r="X32" s="92"/>
      <c r="Y32" s="118">
        <v>100000</v>
      </c>
      <c r="Z32" s="113"/>
      <c r="AA32" s="113" t="s">
        <v>98</v>
      </c>
      <c r="AB32" s="113"/>
      <c r="AC32" s="117" t="s">
        <v>114</v>
      </c>
      <c r="AD32" s="92"/>
      <c r="AE32" s="91"/>
      <c r="AF32" s="91"/>
      <c r="AG32" s="91"/>
      <c r="AH32" s="91"/>
    </row>
    <row r="33" spans="1:34" ht="12.75" customHeight="1">
      <c r="A33" s="91"/>
      <c r="B33" s="91"/>
      <c r="C33" s="92"/>
      <c r="D33" s="642" t="s">
        <v>145</v>
      </c>
      <c r="E33" s="642"/>
      <c r="F33" s="128">
        <v>18</v>
      </c>
      <c r="G33" s="642" t="s">
        <v>146</v>
      </c>
      <c r="H33" s="642"/>
      <c r="I33" s="128">
        <v>99</v>
      </c>
      <c r="J33" s="642" t="s">
        <v>147</v>
      </c>
      <c r="K33" s="642"/>
      <c r="L33" s="642"/>
      <c r="M33" s="129" t="s">
        <v>148</v>
      </c>
      <c r="N33" s="644" t="s">
        <v>140</v>
      </c>
      <c r="O33" s="644"/>
      <c r="P33" s="644"/>
      <c r="Q33" s="644"/>
      <c r="R33" s="644"/>
      <c r="S33" s="644"/>
      <c r="T33" s="92"/>
      <c r="U33" s="91"/>
      <c r="V33" s="91"/>
      <c r="W33" s="91"/>
      <c r="X33" s="92"/>
      <c r="Y33" s="118">
        <v>110000</v>
      </c>
      <c r="Z33" s="113"/>
      <c r="AA33" s="113" t="s">
        <v>99</v>
      </c>
      <c r="AB33" s="113"/>
      <c r="AC33" s="117" t="s">
        <v>115</v>
      </c>
      <c r="AD33" s="92"/>
      <c r="AE33" s="91"/>
      <c r="AF33" s="91"/>
      <c r="AG33" s="91"/>
      <c r="AH33" s="91"/>
    </row>
    <row r="34" spans="1:34" ht="12.75" customHeight="1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1"/>
      <c r="V34" s="91"/>
      <c r="W34" s="91"/>
      <c r="X34" s="92"/>
      <c r="Y34" s="118">
        <v>120000</v>
      </c>
      <c r="Z34" s="113"/>
      <c r="AA34" s="113" t="s">
        <v>100</v>
      </c>
      <c r="AB34" s="113"/>
      <c r="AC34" s="117" t="s">
        <v>116</v>
      </c>
      <c r="AD34" s="92"/>
      <c r="AE34" s="91"/>
      <c r="AF34" s="91"/>
      <c r="AG34" s="91"/>
      <c r="AH34" s="91"/>
    </row>
    <row r="35" spans="1:34" ht="12.75" customHeight="1">
      <c r="A35" s="91"/>
      <c r="B35" s="91"/>
      <c r="C35" s="92"/>
      <c r="D35" s="643" t="s">
        <v>149</v>
      </c>
      <c r="E35" s="643"/>
      <c r="F35" s="643"/>
      <c r="G35" s="643"/>
      <c r="H35" s="645">
        <v>37620</v>
      </c>
      <c r="I35" s="645"/>
      <c r="J35" s="645"/>
      <c r="K35" s="645"/>
      <c r="L35" s="645"/>
      <c r="M35" s="92"/>
      <c r="N35" s="130"/>
      <c r="O35" s="130"/>
      <c r="P35" s="130"/>
      <c r="Q35" s="130"/>
      <c r="R35" s="130"/>
      <c r="S35" s="130"/>
      <c r="T35" s="92"/>
      <c r="U35" s="91"/>
      <c r="V35" s="91"/>
      <c r="W35" s="91"/>
      <c r="X35" s="92"/>
      <c r="Y35" s="118">
        <v>130000</v>
      </c>
      <c r="Z35" s="113"/>
      <c r="AA35" s="113" t="s">
        <v>101</v>
      </c>
      <c r="AB35" s="113"/>
      <c r="AC35" s="117" t="s">
        <v>117</v>
      </c>
      <c r="AD35" s="92"/>
      <c r="AE35" s="91"/>
      <c r="AF35" s="91"/>
      <c r="AG35" s="91"/>
      <c r="AH35" s="91"/>
    </row>
    <row r="36" spans="1:34" ht="12.75" customHeight="1">
      <c r="A36" s="91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1"/>
      <c r="V36" s="91"/>
      <c r="W36" s="91"/>
      <c r="X36" s="92"/>
      <c r="Y36" s="118">
        <v>140000</v>
      </c>
      <c r="Z36" s="113"/>
      <c r="AA36" s="113" t="s">
        <v>102</v>
      </c>
      <c r="AB36" s="113"/>
      <c r="AC36" s="117" t="s">
        <v>120</v>
      </c>
      <c r="AD36" s="92"/>
      <c r="AE36" s="91"/>
      <c r="AF36" s="91"/>
      <c r="AG36" s="91"/>
      <c r="AH36" s="91"/>
    </row>
    <row r="37" spans="1:34" ht="12.75" customHeight="1">
      <c r="A37" s="91"/>
      <c r="B37" s="91"/>
      <c r="C37" s="92"/>
      <c r="D37" s="638" t="s">
        <v>141</v>
      </c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92"/>
      <c r="U37" s="91"/>
      <c r="V37" s="91"/>
      <c r="W37" s="91"/>
      <c r="X37" s="92"/>
      <c r="Y37" s="118">
        <v>150000</v>
      </c>
      <c r="Z37" s="113"/>
      <c r="AA37" s="113"/>
      <c r="AB37" s="113"/>
      <c r="AC37" s="117"/>
      <c r="AD37" s="92"/>
      <c r="AE37" s="91"/>
      <c r="AF37" s="91"/>
      <c r="AG37" s="91"/>
      <c r="AH37" s="91"/>
    </row>
    <row r="38" spans="1:34" ht="12.75" customHeight="1">
      <c r="A38" s="91"/>
      <c r="B38" s="91"/>
      <c r="C38" s="92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92"/>
      <c r="U38" s="91"/>
      <c r="V38" s="91"/>
      <c r="W38" s="91"/>
      <c r="X38" s="92"/>
      <c r="Y38" s="118">
        <v>160000</v>
      </c>
      <c r="Z38" s="113"/>
      <c r="AA38" s="113" t="s">
        <v>103</v>
      </c>
      <c r="AB38" s="113"/>
      <c r="AC38" s="117" t="s">
        <v>121</v>
      </c>
      <c r="AD38" s="92"/>
      <c r="AE38" s="91"/>
      <c r="AF38" s="91"/>
      <c r="AG38" s="91"/>
      <c r="AH38" s="91"/>
    </row>
    <row r="39" spans="1:34" ht="12.75" customHeight="1">
      <c r="A39" s="91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1"/>
      <c r="V39" s="91"/>
      <c r="W39" s="91"/>
      <c r="X39" s="92"/>
      <c r="Y39" s="118">
        <v>170000</v>
      </c>
      <c r="Z39" s="113"/>
      <c r="AA39" s="113" t="s">
        <v>104</v>
      </c>
      <c r="AB39" s="113"/>
      <c r="AC39" s="117" t="s">
        <v>122</v>
      </c>
      <c r="AD39" s="92"/>
      <c r="AE39" s="91"/>
      <c r="AF39" s="91"/>
      <c r="AG39" s="91"/>
      <c r="AH39" s="91"/>
    </row>
    <row r="40" spans="1:34" ht="12.75" customHeight="1">
      <c r="A40" s="91"/>
      <c r="B40" s="91"/>
      <c r="C40" s="92"/>
      <c r="D40" s="642" t="s">
        <v>145</v>
      </c>
      <c r="E40" s="642"/>
      <c r="F40" s="128">
        <v>4</v>
      </c>
      <c r="G40" s="642" t="s">
        <v>146</v>
      </c>
      <c r="H40" s="642"/>
      <c r="I40" s="128">
        <v>14</v>
      </c>
      <c r="J40" s="642" t="s">
        <v>147</v>
      </c>
      <c r="K40" s="642"/>
      <c r="L40" s="642"/>
      <c r="M40" s="129" t="s">
        <v>148</v>
      </c>
      <c r="N40" s="644" t="s">
        <v>142</v>
      </c>
      <c r="O40" s="644"/>
      <c r="P40" s="644"/>
      <c r="Q40" s="644"/>
      <c r="R40" s="644"/>
      <c r="S40" s="644"/>
      <c r="T40" s="92"/>
      <c r="U40" s="91"/>
      <c r="V40" s="91"/>
      <c r="W40" s="91"/>
      <c r="X40" s="92"/>
      <c r="Y40" s="118">
        <v>180000</v>
      </c>
      <c r="Z40" s="113"/>
      <c r="AA40" s="113" t="s">
        <v>105</v>
      </c>
      <c r="AB40" s="113"/>
      <c r="AC40" s="117" t="s">
        <v>123</v>
      </c>
      <c r="AD40" s="92"/>
      <c r="AE40" s="91"/>
      <c r="AF40" s="91"/>
      <c r="AG40" s="91"/>
      <c r="AH40" s="91"/>
    </row>
    <row r="41" spans="1:34" ht="12.75" customHeight="1">
      <c r="A41" s="91"/>
      <c r="B41" s="91"/>
      <c r="C41" s="92"/>
      <c r="D41" s="642" t="s">
        <v>145</v>
      </c>
      <c r="E41" s="642"/>
      <c r="F41" s="128">
        <v>14</v>
      </c>
      <c r="G41" s="642" t="s">
        <v>146</v>
      </c>
      <c r="H41" s="642"/>
      <c r="I41" s="128">
        <v>18</v>
      </c>
      <c r="J41" s="642" t="s">
        <v>147</v>
      </c>
      <c r="K41" s="642"/>
      <c r="L41" s="642"/>
      <c r="M41" s="129" t="s">
        <v>148</v>
      </c>
      <c r="N41" s="644" t="s">
        <v>143</v>
      </c>
      <c r="O41" s="644"/>
      <c r="P41" s="644"/>
      <c r="Q41" s="644"/>
      <c r="R41" s="644"/>
      <c r="S41" s="644"/>
      <c r="T41" s="92"/>
      <c r="U41" s="91"/>
      <c r="V41" s="91"/>
      <c r="W41" s="91"/>
      <c r="X41" s="92"/>
      <c r="Y41" s="118">
        <v>190000</v>
      </c>
      <c r="Z41" s="113"/>
      <c r="AA41" s="113"/>
      <c r="AB41" s="113"/>
      <c r="AC41" s="117"/>
      <c r="AD41" s="92"/>
      <c r="AE41" s="91"/>
      <c r="AF41" s="91"/>
      <c r="AG41" s="91"/>
      <c r="AH41" s="91"/>
    </row>
    <row r="42" spans="1:34" ht="12.75" customHeight="1">
      <c r="A42" s="91"/>
      <c r="B42" s="91"/>
      <c r="C42" s="92"/>
      <c r="D42" s="642" t="s">
        <v>145</v>
      </c>
      <c r="E42" s="642"/>
      <c r="F42" s="128">
        <v>18</v>
      </c>
      <c r="G42" s="642" t="s">
        <v>146</v>
      </c>
      <c r="H42" s="642"/>
      <c r="I42" s="128">
        <v>99</v>
      </c>
      <c r="J42" s="642" t="s">
        <v>147</v>
      </c>
      <c r="K42" s="642"/>
      <c r="L42" s="642"/>
      <c r="M42" s="129" t="s">
        <v>148</v>
      </c>
      <c r="N42" s="644" t="s">
        <v>144</v>
      </c>
      <c r="O42" s="644"/>
      <c r="P42" s="644"/>
      <c r="Q42" s="644"/>
      <c r="R42" s="644"/>
      <c r="S42" s="644"/>
      <c r="T42" s="92"/>
      <c r="U42" s="91"/>
      <c r="V42" s="91"/>
      <c r="W42" s="91"/>
      <c r="X42" s="92"/>
      <c r="Y42" s="118">
        <v>200000</v>
      </c>
      <c r="Z42" s="113"/>
      <c r="AA42" s="113" t="s">
        <v>106</v>
      </c>
      <c r="AB42" s="113"/>
      <c r="AC42" s="117" t="s">
        <v>124</v>
      </c>
      <c r="AD42" s="92"/>
      <c r="AE42" s="91"/>
      <c r="AF42" s="91"/>
      <c r="AG42" s="91"/>
      <c r="AH42" s="91"/>
    </row>
    <row r="43" spans="1:34" ht="15.75">
      <c r="A43" s="91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1"/>
      <c r="V43" s="91"/>
      <c r="W43" s="91"/>
      <c r="X43" s="92"/>
      <c r="Y43" s="105"/>
      <c r="Z43" s="92"/>
      <c r="AA43" s="92"/>
      <c r="AB43" s="92"/>
      <c r="AC43" s="96"/>
      <c r="AD43" s="92"/>
      <c r="AE43" s="91"/>
      <c r="AF43" s="91"/>
      <c r="AG43" s="91"/>
      <c r="AH43" s="91"/>
    </row>
    <row r="44" spans="1:34" ht="15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06"/>
      <c r="Z44" s="91"/>
      <c r="AA44" s="91"/>
      <c r="AB44" s="91"/>
      <c r="AC44" s="107"/>
      <c r="AD44" s="91"/>
      <c r="AE44" s="91"/>
      <c r="AF44" s="91"/>
      <c r="AG44" s="91"/>
      <c r="AH44" s="91"/>
    </row>
    <row r="45" spans="1:34" ht="15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06"/>
      <c r="Z45" s="91"/>
      <c r="AA45" s="91"/>
      <c r="AB45" s="91"/>
      <c r="AC45" s="107"/>
      <c r="AD45" s="91"/>
      <c r="AE45" s="91"/>
      <c r="AF45" s="91"/>
      <c r="AG45" s="91"/>
      <c r="AH45" s="91"/>
    </row>
    <row r="46" spans="1:34" ht="15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06"/>
      <c r="Z46" s="91"/>
      <c r="AA46" s="91"/>
      <c r="AB46" s="91"/>
      <c r="AC46" s="107"/>
      <c r="AD46" s="91"/>
      <c r="AE46" s="91"/>
      <c r="AF46" s="91"/>
      <c r="AG46" s="91"/>
      <c r="AH46" s="91"/>
    </row>
    <row r="47" spans="1:34" ht="15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06"/>
      <c r="Z47" s="91"/>
      <c r="AA47" s="91"/>
      <c r="AB47" s="91"/>
      <c r="AC47" s="107"/>
      <c r="AD47" s="91"/>
      <c r="AE47" s="91"/>
      <c r="AF47" s="91"/>
      <c r="AG47" s="91"/>
      <c r="AH47" s="91"/>
    </row>
    <row r="48" spans="1:34" ht="15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06"/>
      <c r="Z48" s="91"/>
      <c r="AA48" s="91"/>
      <c r="AB48" s="91"/>
      <c r="AC48" s="107"/>
      <c r="AD48" s="91"/>
      <c r="AE48" s="91"/>
      <c r="AF48" s="91"/>
      <c r="AG48" s="91"/>
      <c r="AH48" s="91"/>
    </row>
    <row r="49" spans="1:34" ht="15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06"/>
      <c r="Z49" s="91"/>
      <c r="AA49" s="91"/>
      <c r="AB49" s="91"/>
      <c r="AC49" s="107"/>
      <c r="AD49" s="91"/>
      <c r="AE49" s="91"/>
      <c r="AF49" s="91"/>
      <c r="AG49" s="91"/>
      <c r="AH49" s="91"/>
    </row>
    <row r="50" spans="1:34" ht="15.75">
      <c r="A50" s="91"/>
      <c r="B50" s="91"/>
      <c r="C50" s="91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06"/>
      <c r="Z50" s="91"/>
      <c r="AA50" s="91"/>
      <c r="AB50" s="91"/>
      <c r="AC50" s="107"/>
      <c r="AD50" s="91"/>
      <c r="AE50" s="91"/>
      <c r="AF50" s="91"/>
      <c r="AG50" s="91"/>
      <c r="AH50" s="91"/>
    </row>
    <row r="51" spans="1:34" ht="15.75">
      <c r="A51" s="91"/>
      <c r="B51" s="91"/>
      <c r="C51" s="91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06"/>
      <c r="Z51" s="91"/>
      <c r="AA51" s="91"/>
      <c r="AB51" s="91"/>
      <c r="AC51" s="107"/>
      <c r="AD51" s="91"/>
      <c r="AE51" s="91"/>
      <c r="AF51" s="91"/>
      <c r="AG51" s="91"/>
      <c r="AH51" s="91"/>
    </row>
    <row r="52" spans="1:34" ht="15.75">
      <c r="A52" s="91"/>
      <c r="B52" s="91"/>
      <c r="C52" s="9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06"/>
      <c r="Z52" s="91"/>
      <c r="AA52" s="91"/>
      <c r="AB52" s="91"/>
      <c r="AC52" s="107"/>
      <c r="AD52" s="91"/>
      <c r="AE52" s="91"/>
      <c r="AF52" s="91"/>
      <c r="AG52" s="91"/>
      <c r="AH52" s="91"/>
    </row>
    <row r="53" spans="1:34" ht="15.75">
      <c r="A53" s="91"/>
      <c r="B53" s="91"/>
      <c r="C53" s="91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06"/>
      <c r="Z53" s="91"/>
      <c r="AA53" s="91"/>
      <c r="AB53" s="91"/>
      <c r="AC53" s="107"/>
      <c r="AD53" s="91"/>
      <c r="AE53" s="91"/>
      <c r="AF53" s="91"/>
      <c r="AG53" s="91"/>
      <c r="AH53" s="91"/>
    </row>
    <row r="54" spans="1:34" ht="15.75">
      <c r="A54" s="91"/>
      <c r="B54" s="91"/>
      <c r="C54" s="91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06"/>
      <c r="Z54" s="91"/>
      <c r="AA54" s="91"/>
      <c r="AB54" s="91"/>
      <c r="AC54" s="107"/>
      <c r="AD54" s="91"/>
      <c r="AE54" s="91"/>
      <c r="AF54" s="91"/>
      <c r="AG54" s="91"/>
      <c r="AH54" s="91"/>
    </row>
    <row r="55" spans="1:34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06"/>
      <c r="Z55" s="91"/>
      <c r="AA55" s="91"/>
      <c r="AB55" s="91"/>
      <c r="AC55" s="107"/>
      <c r="AD55" s="91"/>
      <c r="AE55" s="91"/>
      <c r="AF55" s="91"/>
      <c r="AG55" s="91"/>
      <c r="AH55" s="91"/>
    </row>
    <row r="56" spans="1:34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106"/>
      <c r="Z56" s="91"/>
      <c r="AA56" s="91"/>
      <c r="AB56" s="91"/>
      <c r="AC56" s="107"/>
      <c r="AD56" s="91"/>
      <c r="AE56" s="91"/>
      <c r="AF56" s="91"/>
      <c r="AG56" s="91"/>
      <c r="AH56" s="91"/>
    </row>
    <row r="57" spans="1:34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106"/>
      <c r="Z57" s="91"/>
      <c r="AA57" s="91"/>
      <c r="AB57" s="91"/>
      <c r="AC57" s="107"/>
      <c r="AD57" s="91"/>
      <c r="AE57" s="91"/>
      <c r="AF57" s="91"/>
      <c r="AG57" s="91"/>
      <c r="AH57" s="91"/>
    </row>
    <row r="58" spans="1:34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06"/>
      <c r="Z58" s="91"/>
      <c r="AA58" s="91"/>
      <c r="AB58" s="91"/>
      <c r="AC58" s="107"/>
      <c r="AD58" s="91"/>
      <c r="AE58" s="91"/>
      <c r="AF58" s="91"/>
      <c r="AG58" s="91"/>
      <c r="AH58" s="91"/>
    </row>
    <row r="59" spans="1:34" ht="15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106"/>
      <c r="Z59" s="91"/>
      <c r="AA59" s="91"/>
      <c r="AB59" s="91"/>
      <c r="AC59" s="107"/>
      <c r="AD59" s="91"/>
      <c r="AE59" s="91"/>
      <c r="AF59" s="91"/>
      <c r="AG59" s="91"/>
      <c r="AH59" s="91"/>
    </row>
    <row r="60" spans="1:34" ht="15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106"/>
      <c r="Z60" s="91"/>
      <c r="AA60" s="91"/>
      <c r="AB60" s="91"/>
      <c r="AC60" s="107"/>
      <c r="AD60" s="91"/>
      <c r="AE60" s="91"/>
      <c r="AF60" s="91"/>
      <c r="AG60" s="91"/>
      <c r="AH60" s="91"/>
    </row>
    <row r="61" spans="1:34" ht="15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106"/>
      <c r="Z61" s="91"/>
      <c r="AA61" s="91"/>
      <c r="AB61" s="91"/>
      <c r="AC61" s="107"/>
      <c r="AD61" s="91"/>
      <c r="AE61" s="91"/>
      <c r="AF61" s="91"/>
      <c r="AG61" s="91"/>
      <c r="AH61" s="91"/>
    </row>
    <row r="62" spans="1:34" ht="15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06"/>
      <c r="Z62" s="91"/>
      <c r="AA62" s="91"/>
      <c r="AB62" s="91"/>
      <c r="AC62" s="107"/>
      <c r="AD62" s="91"/>
      <c r="AE62" s="91"/>
      <c r="AF62" s="91"/>
      <c r="AG62" s="91"/>
      <c r="AH62" s="91"/>
    </row>
    <row r="63" spans="1:34" ht="15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06"/>
      <c r="Z63" s="91"/>
      <c r="AA63" s="91"/>
      <c r="AB63" s="91"/>
      <c r="AC63" s="107"/>
      <c r="AD63" s="91"/>
      <c r="AE63" s="91"/>
      <c r="AF63" s="91"/>
      <c r="AG63" s="91"/>
      <c r="AH63" s="91"/>
    </row>
    <row r="64" spans="1:34" ht="15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06"/>
      <c r="Z64" s="91"/>
      <c r="AA64" s="91"/>
      <c r="AB64" s="91"/>
      <c r="AC64" s="107"/>
      <c r="AD64" s="91"/>
      <c r="AE64" s="91"/>
      <c r="AF64" s="91"/>
      <c r="AG64" s="91"/>
      <c r="AH64" s="91"/>
    </row>
    <row r="65" spans="1:34" ht="15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06"/>
      <c r="Z65" s="91"/>
      <c r="AA65" s="91"/>
      <c r="AB65" s="91"/>
      <c r="AC65" s="107"/>
      <c r="AD65" s="91"/>
      <c r="AE65" s="91"/>
      <c r="AF65" s="91"/>
      <c r="AG65" s="91"/>
      <c r="AH65" s="91"/>
    </row>
  </sheetData>
  <sheetProtection password="8470" sheet="1" objects="1" scenarios="1"/>
  <mergeCells count="46">
    <mergeCell ref="N41:S41"/>
    <mergeCell ref="J32:L32"/>
    <mergeCell ref="N33:S33"/>
    <mergeCell ref="G33:H33"/>
    <mergeCell ref="N28:S28"/>
    <mergeCell ref="N29:S29"/>
    <mergeCell ref="N30:S30"/>
    <mergeCell ref="N31:S31"/>
    <mergeCell ref="N32:S32"/>
    <mergeCell ref="J28:L28"/>
    <mergeCell ref="J29:L29"/>
    <mergeCell ref="J42:L42"/>
    <mergeCell ref="D37:S38"/>
    <mergeCell ref="D35:G35"/>
    <mergeCell ref="N40:S40"/>
    <mergeCell ref="J30:L30"/>
    <mergeCell ref="J31:L31"/>
    <mergeCell ref="H35:L35"/>
    <mergeCell ref="J40:L40"/>
    <mergeCell ref="N42:S42"/>
    <mergeCell ref="D33:E33"/>
    <mergeCell ref="J33:L33"/>
    <mergeCell ref="D40:E40"/>
    <mergeCell ref="D42:E42"/>
    <mergeCell ref="D41:E41"/>
    <mergeCell ref="J41:L41"/>
    <mergeCell ref="G40:H40"/>
    <mergeCell ref="G41:H41"/>
    <mergeCell ref="G42:H42"/>
    <mergeCell ref="D28:E28"/>
    <mergeCell ref="D29:E29"/>
    <mergeCell ref="D32:E32"/>
    <mergeCell ref="G28:H28"/>
    <mergeCell ref="G29:H29"/>
    <mergeCell ref="G30:H30"/>
    <mergeCell ref="D30:E30"/>
    <mergeCell ref="D31:E31"/>
    <mergeCell ref="G32:H32"/>
    <mergeCell ref="G31:H31"/>
    <mergeCell ref="D25:S26"/>
    <mergeCell ref="D15:T15"/>
    <mergeCell ref="D3:T3"/>
    <mergeCell ref="D5:T5"/>
    <mergeCell ref="D7:T7"/>
    <mergeCell ref="D13:T13"/>
    <mergeCell ref="L9:N9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Stefan.Huter</cp:lastModifiedBy>
  <cp:lastPrinted>2024-02-25T12:20:06Z</cp:lastPrinted>
  <dcterms:created xsi:type="dcterms:W3CDTF">2002-02-14T19:05:15Z</dcterms:created>
  <dcterms:modified xsi:type="dcterms:W3CDTF">2024-02-26T16:11:37Z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